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bashvili\Desktop\S  P  S\სპს მატერიალურ-სასურსათო\ნიკა 12.07.2023\"/>
    </mc:Choice>
  </mc:AlternateContent>
  <bookViews>
    <workbookView xWindow="0" yWindow="0" windowWidth="28800" windowHeight="11100" activeTab="6"/>
  </bookViews>
  <sheets>
    <sheet name="ორშაბათი" sheetId="1" r:id="rId1"/>
    <sheet name="სამშაბათი" sheetId="2" r:id="rId2"/>
    <sheet name="ოთხშაბათი" sheetId="3" r:id="rId3"/>
    <sheet name="ხუთშაბათი" sheetId="4" r:id="rId4"/>
    <sheet name="პარასკევი" sheetId="6" r:id="rId5"/>
    <sheet name="შაბათი" sheetId="5" r:id="rId6"/>
    <sheet name="კვირა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7" i="7" l="1"/>
  <c r="C97" i="7"/>
  <c r="G94" i="7"/>
  <c r="C94" i="7"/>
  <c r="E94" i="7" s="1"/>
  <c r="E95" i="7" s="1"/>
  <c r="G92" i="7"/>
  <c r="C92" i="7"/>
  <c r="D90" i="7"/>
  <c r="G90" i="7" s="1"/>
  <c r="C90" i="7"/>
  <c r="F90" i="7" s="1"/>
  <c r="D89" i="7"/>
  <c r="C89" i="7"/>
  <c r="F89" i="7" s="1"/>
  <c r="C83" i="7"/>
  <c r="C82" i="7"/>
  <c r="F82" i="7" s="1"/>
  <c r="G82" i="7" s="1"/>
  <c r="G81" i="7"/>
  <c r="C81" i="7"/>
  <c r="F80" i="7"/>
  <c r="C80" i="7"/>
  <c r="C79" i="7"/>
  <c r="C78" i="7"/>
  <c r="E77" i="7"/>
  <c r="D77" i="7"/>
  <c r="G77" i="7" s="1"/>
  <c r="C77" i="7"/>
  <c r="F77" i="7" s="1"/>
  <c r="E67" i="7"/>
  <c r="F66" i="7"/>
  <c r="G66" i="7" s="1"/>
  <c r="C66" i="7"/>
  <c r="F65" i="7"/>
  <c r="F67" i="7" s="1"/>
  <c r="D65" i="7"/>
  <c r="C65" i="7"/>
  <c r="F60" i="7"/>
  <c r="E60" i="7"/>
  <c r="C60" i="7"/>
  <c r="D60" i="7" s="1"/>
  <c r="G58" i="7"/>
  <c r="C58" i="7"/>
  <c r="C57" i="7"/>
  <c r="E57" i="7" s="1"/>
  <c r="G57" i="7" s="1"/>
  <c r="D56" i="7"/>
  <c r="C56" i="7"/>
  <c r="G50" i="7"/>
  <c r="C50" i="7"/>
  <c r="G49" i="7"/>
  <c r="C49" i="7"/>
  <c r="G48" i="7"/>
  <c r="C48" i="7"/>
  <c r="G47" i="7"/>
  <c r="E47" i="7"/>
  <c r="C47" i="7"/>
  <c r="C46" i="7"/>
  <c r="F46" i="7" s="1"/>
  <c r="G46" i="7" s="1"/>
  <c r="C45" i="7"/>
  <c r="C44" i="7"/>
  <c r="F44" i="7" s="1"/>
  <c r="C43" i="7"/>
  <c r="G37" i="7"/>
  <c r="C37" i="7"/>
  <c r="G36" i="7"/>
  <c r="C36" i="7"/>
  <c r="C35" i="7"/>
  <c r="E35" i="7" s="1"/>
  <c r="G35" i="7" s="1"/>
  <c r="C34" i="7"/>
  <c r="C33" i="7"/>
  <c r="C32" i="7"/>
  <c r="B25" i="7"/>
  <c r="G22" i="7"/>
  <c r="F22" i="7"/>
  <c r="C22" i="7"/>
  <c r="C21" i="7"/>
  <c r="G15" i="7"/>
  <c r="F15" i="7"/>
  <c r="C15" i="7"/>
  <c r="G14" i="7"/>
  <c r="F14" i="7"/>
  <c r="C14" i="7"/>
  <c r="C12" i="7"/>
  <c r="E12" i="7" s="1"/>
  <c r="G12" i="7" s="1"/>
  <c r="E11" i="7"/>
  <c r="D11" i="7"/>
  <c r="C11" i="7"/>
  <c r="F11" i="7" s="1"/>
  <c r="E10" i="7"/>
  <c r="D10" i="7"/>
  <c r="C10" i="7"/>
  <c r="F9" i="7"/>
  <c r="E9" i="7"/>
  <c r="D9" i="7"/>
  <c r="C9" i="7"/>
  <c r="B99" i="5"/>
  <c r="B102" i="5" s="1"/>
  <c r="F95" i="5"/>
  <c r="E95" i="5"/>
  <c r="D95" i="5"/>
  <c r="G93" i="5"/>
  <c r="C93" i="5"/>
  <c r="G92" i="5"/>
  <c r="E92" i="5"/>
  <c r="C92" i="5"/>
  <c r="F91" i="5"/>
  <c r="E91" i="5"/>
  <c r="D91" i="5"/>
  <c r="C91" i="5"/>
  <c r="F90" i="5"/>
  <c r="F94" i="5" s="1"/>
  <c r="C90" i="5"/>
  <c r="G83" i="5"/>
  <c r="C83" i="5"/>
  <c r="E82" i="5"/>
  <c r="G82" i="5" s="1"/>
  <c r="C82" i="5"/>
  <c r="D80" i="5"/>
  <c r="G80" i="5" s="1"/>
  <c r="C80" i="5"/>
  <c r="F80" i="5" s="1"/>
  <c r="G79" i="5"/>
  <c r="C79" i="5"/>
  <c r="C78" i="5"/>
  <c r="C77" i="5"/>
  <c r="B70" i="5"/>
  <c r="E68" i="5"/>
  <c r="C67" i="5"/>
  <c r="F67" i="5" s="1"/>
  <c r="G67" i="5" s="1"/>
  <c r="C66" i="5"/>
  <c r="C60" i="5"/>
  <c r="D59" i="5"/>
  <c r="C59" i="5"/>
  <c r="D57" i="5"/>
  <c r="G57" i="5" s="1"/>
  <c r="C57" i="5"/>
  <c r="F57" i="5" s="1"/>
  <c r="D56" i="5"/>
  <c r="G56" i="5" s="1"/>
  <c r="C56" i="5"/>
  <c r="F56" i="5" s="1"/>
  <c r="D55" i="5"/>
  <c r="G55" i="5" s="1"/>
  <c r="C55" i="5"/>
  <c r="F55" i="5" s="1"/>
  <c r="D54" i="5"/>
  <c r="C54" i="5"/>
  <c r="F54" i="5" s="1"/>
  <c r="E49" i="5"/>
  <c r="D49" i="5"/>
  <c r="C49" i="5"/>
  <c r="F49" i="5" s="1"/>
  <c r="C48" i="5"/>
  <c r="C42" i="5"/>
  <c r="G41" i="5"/>
  <c r="E41" i="5"/>
  <c r="D41" i="5"/>
  <c r="C39" i="5"/>
  <c r="G33" i="5"/>
  <c r="E33" i="5"/>
  <c r="C33" i="5"/>
  <c r="E32" i="5"/>
  <c r="D32" i="5"/>
  <c r="C32" i="5"/>
  <c r="B25" i="5"/>
  <c r="F23" i="5"/>
  <c r="F25" i="5" s="1"/>
  <c r="F22" i="5"/>
  <c r="G22" i="5" s="1"/>
  <c r="C22" i="5"/>
  <c r="F21" i="5"/>
  <c r="E21" i="5"/>
  <c r="E23" i="5" s="1"/>
  <c r="C21" i="5"/>
  <c r="D21" i="5" s="1"/>
  <c r="F15" i="5"/>
  <c r="C15" i="5"/>
  <c r="G12" i="5"/>
  <c r="C12" i="5"/>
  <c r="E12" i="5" s="1"/>
  <c r="G11" i="5"/>
  <c r="F11" i="5"/>
  <c r="C11" i="5"/>
  <c r="E10" i="5"/>
  <c r="D10" i="5"/>
  <c r="G10" i="5" s="1"/>
  <c r="C10" i="5"/>
  <c r="F9" i="5"/>
  <c r="E9" i="5"/>
  <c r="C9" i="5"/>
  <c r="D9" i="5" s="1"/>
  <c r="G9" i="5" s="1"/>
  <c r="F8" i="5"/>
  <c r="F16" i="5" s="1"/>
  <c r="C8" i="5"/>
  <c r="F107" i="6"/>
  <c r="E107" i="6"/>
  <c r="C107" i="6"/>
  <c r="G106" i="6"/>
  <c r="E106" i="6"/>
  <c r="C106" i="6"/>
  <c r="D106" i="6" s="1"/>
  <c r="C101" i="6"/>
  <c r="G95" i="6"/>
  <c r="C95" i="6"/>
  <c r="F94" i="6"/>
  <c r="E94" i="6"/>
  <c r="C94" i="6"/>
  <c r="D94" i="6" s="1"/>
  <c r="F93" i="6"/>
  <c r="F96" i="6" s="1"/>
  <c r="C93" i="6"/>
  <c r="C86" i="6"/>
  <c r="G83" i="6"/>
  <c r="C83" i="6"/>
  <c r="E83" i="6" s="1"/>
  <c r="C82" i="6"/>
  <c r="D81" i="6"/>
  <c r="C81" i="6"/>
  <c r="C70" i="6"/>
  <c r="E68" i="6"/>
  <c r="F67" i="6"/>
  <c r="C67" i="6"/>
  <c r="F66" i="6"/>
  <c r="D66" i="6"/>
  <c r="C66" i="6"/>
  <c r="G61" i="6"/>
  <c r="C61" i="6"/>
  <c r="D60" i="6"/>
  <c r="C60" i="6"/>
  <c r="F60" i="6" s="1"/>
  <c r="G60" i="6" s="1"/>
  <c r="G59" i="6"/>
  <c r="C59" i="6"/>
  <c r="E58" i="6"/>
  <c r="C58" i="6"/>
  <c r="G57" i="6"/>
  <c r="C56" i="6"/>
  <c r="E56" i="6" s="1"/>
  <c r="G56" i="6" s="1"/>
  <c r="C55" i="6"/>
  <c r="D55" i="6" s="1"/>
  <c r="G48" i="6"/>
  <c r="C48" i="6"/>
  <c r="G47" i="6"/>
  <c r="C47" i="6"/>
  <c r="C46" i="6"/>
  <c r="D46" i="6" s="1"/>
  <c r="G45" i="6"/>
  <c r="C45" i="6"/>
  <c r="G44" i="6"/>
  <c r="C44" i="6"/>
  <c r="G43" i="6"/>
  <c r="C43" i="6"/>
  <c r="E42" i="6"/>
  <c r="G42" i="6" s="1"/>
  <c r="C42" i="6"/>
  <c r="E41" i="6"/>
  <c r="E49" i="6" s="1"/>
  <c r="C41" i="6"/>
  <c r="G33" i="6"/>
  <c r="C33" i="6"/>
  <c r="F32" i="6"/>
  <c r="D32" i="6"/>
  <c r="C32" i="6"/>
  <c r="E32" i="6" s="1"/>
  <c r="E34" i="6" s="1"/>
  <c r="G31" i="6"/>
  <c r="C31" i="6"/>
  <c r="G30" i="6"/>
  <c r="C30" i="6"/>
  <c r="D29" i="6"/>
  <c r="G29" i="6" s="1"/>
  <c r="C29" i="6"/>
  <c r="F29" i="6" s="1"/>
  <c r="G28" i="6"/>
  <c r="D28" i="6"/>
  <c r="D34" i="6" s="1"/>
  <c r="C28" i="6"/>
  <c r="F28" i="6" s="1"/>
  <c r="F34" i="6" s="1"/>
  <c r="B21" i="6"/>
  <c r="F18" i="6"/>
  <c r="G18" i="6" s="1"/>
  <c r="C18" i="6"/>
  <c r="C17" i="6"/>
  <c r="G11" i="6"/>
  <c r="C11" i="6"/>
  <c r="F9" i="6"/>
  <c r="E9" i="6"/>
  <c r="D9" i="6"/>
  <c r="G9" i="6" s="1"/>
  <c r="C9" i="6"/>
  <c r="E8" i="6"/>
  <c r="E12" i="6" s="1"/>
  <c r="C8" i="6"/>
  <c r="B93" i="4"/>
  <c r="G90" i="4"/>
  <c r="C90" i="4"/>
  <c r="E89" i="4"/>
  <c r="G89" i="4" s="1"/>
  <c r="C89" i="4"/>
  <c r="E88" i="4"/>
  <c r="E91" i="4" s="1"/>
  <c r="C88" i="4"/>
  <c r="F83" i="4"/>
  <c r="D83" i="4"/>
  <c r="C83" i="4"/>
  <c r="E83" i="4" s="1"/>
  <c r="C81" i="4"/>
  <c r="E81" i="4" s="1"/>
  <c r="G81" i="4" s="1"/>
  <c r="G80" i="4"/>
  <c r="C80" i="4"/>
  <c r="F79" i="4"/>
  <c r="F82" i="4" s="1"/>
  <c r="D79" i="4"/>
  <c r="G79" i="4" s="1"/>
  <c r="C79" i="4"/>
  <c r="E79" i="4" s="1"/>
  <c r="D78" i="4"/>
  <c r="C78" i="4"/>
  <c r="E78" i="4" s="1"/>
  <c r="F69" i="4"/>
  <c r="E69" i="4"/>
  <c r="D69" i="4"/>
  <c r="F68" i="4"/>
  <c r="G68" i="4" s="1"/>
  <c r="C68" i="4"/>
  <c r="F67" i="4"/>
  <c r="D67" i="4"/>
  <c r="G67" i="4" s="1"/>
  <c r="G69" i="4" s="1"/>
  <c r="C67" i="4"/>
  <c r="G61" i="4"/>
  <c r="C61" i="4"/>
  <c r="D60" i="4"/>
  <c r="G60" i="4" s="1"/>
  <c r="C60" i="4"/>
  <c r="F60" i="4" s="1"/>
  <c r="G59" i="4"/>
  <c r="C59" i="4"/>
  <c r="D58" i="4"/>
  <c r="C58" i="4"/>
  <c r="F58" i="4" s="1"/>
  <c r="G58" i="4" s="1"/>
  <c r="E57" i="4"/>
  <c r="C57" i="4"/>
  <c r="E56" i="4"/>
  <c r="C56" i="4"/>
  <c r="D56" i="4" s="1"/>
  <c r="F55" i="4"/>
  <c r="D55" i="4"/>
  <c r="C55" i="4"/>
  <c r="E55" i="4" s="1"/>
  <c r="E62" i="4" s="1"/>
  <c r="E50" i="4"/>
  <c r="C50" i="4"/>
  <c r="G48" i="4"/>
  <c r="C48" i="4"/>
  <c r="F46" i="4"/>
  <c r="E46" i="4"/>
  <c r="D46" i="4"/>
  <c r="C46" i="4"/>
  <c r="C45" i="4"/>
  <c r="F36" i="4"/>
  <c r="D36" i="4"/>
  <c r="G36" i="4" s="1"/>
  <c r="C36" i="4"/>
  <c r="E36" i="4" s="1"/>
  <c r="G34" i="4"/>
  <c r="C34" i="4"/>
  <c r="G33" i="4"/>
  <c r="C33" i="4"/>
  <c r="C32" i="4"/>
  <c r="C31" i="4"/>
  <c r="B24" i="4"/>
  <c r="C20" i="4"/>
  <c r="F20" i="4" s="1"/>
  <c r="G20" i="4" s="1"/>
  <c r="F19" i="4"/>
  <c r="F21" i="4" s="1"/>
  <c r="F24" i="4" s="1"/>
  <c r="E19" i="4"/>
  <c r="D19" i="4"/>
  <c r="G19" i="4" s="1"/>
  <c r="G21" i="4" s="1"/>
  <c r="C19" i="4"/>
  <c r="G14" i="4"/>
  <c r="C14" i="4"/>
  <c r="C13" i="4"/>
  <c r="E13" i="4" s="1"/>
  <c r="G13" i="4" s="1"/>
  <c r="G12" i="4"/>
  <c r="C12" i="4"/>
  <c r="C11" i="4"/>
  <c r="C10" i="4"/>
  <c r="F9" i="4"/>
  <c r="F15" i="4" s="1"/>
  <c r="E9" i="4"/>
  <c r="D9" i="4"/>
  <c r="C9" i="4"/>
  <c r="C110" i="3"/>
  <c r="G108" i="3"/>
  <c r="C108" i="3"/>
  <c r="G107" i="3"/>
  <c r="C107" i="3"/>
  <c r="E106" i="3"/>
  <c r="G106" i="3" s="1"/>
  <c r="C106" i="3"/>
  <c r="G105" i="3"/>
  <c r="F105" i="3"/>
  <c r="D105" i="3"/>
  <c r="C105" i="3"/>
  <c r="G104" i="3"/>
  <c r="F104" i="3"/>
  <c r="D104" i="3"/>
  <c r="C104" i="3"/>
  <c r="C103" i="3"/>
  <c r="G96" i="3"/>
  <c r="C96" i="3"/>
  <c r="E95" i="3"/>
  <c r="G95" i="3" s="1"/>
  <c r="C95" i="3"/>
  <c r="E94" i="3"/>
  <c r="E97" i="3" s="1"/>
  <c r="C94" i="3"/>
  <c r="D94" i="3" s="1"/>
  <c r="G88" i="3"/>
  <c r="C88" i="3"/>
  <c r="G87" i="3"/>
  <c r="C87" i="3"/>
  <c r="F86" i="3"/>
  <c r="C86" i="3"/>
  <c r="D86" i="3" s="1"/>
  <c r="F85" i="3"/>
  <c r="G85" i="3" s="1"/>
  <c r="C85" i="3"/>
  <c r="D84" i="3"/>
  <c r="C84" i="3"/>
  <c r="F84" i="3" s="1"/>
  <c r="F89" i="3" s="1"/>
  <c r="D83" i="3"/>
  <c r="D89" i="3" s="1"/>
  <c r="C83" i="3"/>
  <c r="E83" i="3" s="1"/>
  <c r="E89" i="3" s="1"/>
  <c r="B76" i="3"/>
  <c r="F73" i="3"/>
  <c r="D73" i="3"/>
  <c r="C73" i="3"/>
  <c r="E73" i="3" s="1"/>
  <c r="E71" i="3"/>
  <c r="G70" i="3"/>
  <c r="C70" i="3"/>
  <c r="F70" i="3" s="1"/>
  <c r="F69" i="3"/>
  <c r="F71" i="3" s="1"/>
  <c r="C69" i="3"/>
  <c r="D69" i="3" s="1"/>
  <c r="G64" i="3"/>
  <c r="C64" i="3"/>
  <c r="G63" i="3"/>
  <c r="C63" i="3"/>
  <c r="F62" i="3"/>
  <c r="C62" i="3"/>
  <c r="D62" i="3" s="1"/>
  <c r="G61" i="3"/>
  <c r="C61" i="3"/>
  <c r="G60" i="3"/>
  <c r="C60" i="3"/>
  <c r="G59" i="3"/>
  <c r="C59" i="3"/>
  <c r="E58" i="3"/>
  <c r="G58" i="3" s="1"/>
  <c r="C58" i="3"/>
  <c r="C57" i="3"/>
  <c r="E51" i="3"/>
  <c r="G51" i="3" s="1"/>
  <c r="C51" i="3"/>
  <c r="G50" i="3"/>
  <c r="C50" i="3"/>
  <c r="E49" i="3"/>
  <c r="E52" i="3" s="1"/>
  <c r="C49" i="3"/>
  <c r="G48" i="3"/>
  <c r="C48" i="3"/>
  <c r="G47" i="3"/>
  <c r="C47" i="3"/>
  <c r="F46" i="3"/>
  <c r="C46" i="3"/>
  <c r="D46" i="3" s="1"/>
  <c r="F45" i="3"/>
  <c r="C45" i="3"/>
  <c r="D45" i="3" s="1"/>
  <c r="F39" i="3"/>
  <c r="G38" i="3"/>
  <c r="C38" i="3"/>
  <c r="F37" i="3"/>
  <c r="D37" i="3"/>
  <c r="C37" i="3"/>
  <c r="E37" i="3" s="1"/>
  <c r="D36" i="3"/>
  <c r="G36" i="3" s="1"/>
  <c r="C36" i="3"/>
  <c r="F36" i="3" s="1"/>
  <c r="G35" i="3"/>
  <c r="C35" i="3"/>
  <c r="G34" i="3"/>
  <c r="F34" i="3"/>
  <c r="D34" i="3"/>
  <c r="C34" i="3"/>
  <c r="G33" i="3"/>
  <c r="C33" i="3"/>
  <c r="D32" i="3"/>
  <c r="D39" i="3" s="1"/>
  <c r="C32" i="3"/>
  <c r="E32" i="3" s="1"/>
  <c r="E39" i="3" s="1"/>
  <c r="B25" i="3"/>
  <c r="F22" i="3"/>
  <c r="G22" i="3" s="1"/>
  <c r="C22" i="3"/>
  <c r="C21" i="3"/>
  <c r="G16" i="3"/>
  <c r="C16" i="3"/>
  <c r="C15" i="3"/>
  <c r="D15" i="3" s="1"/>
  <c r="D17" i="3" s="1"/>
  <c r="F14" i="3"/>
  <c r="E14" i="3"/>
  <c r="D14" i="3"/>
  <c r="G14" i="3" s="1"/>
  <c r="C14" i="3"/>
  <c r="C13" i="3"/>
  <c r="G12" i="3"/>
  <c r="C12" i="3"/>
  <c r="E11" i="3"/>
  <c r="G11" i="3" s="1"/>
  <c r="C11" i="3"/>
  <c r="G10" i="3"/>
  <c r="C10" i="3"/>
  <c r="F10" i="3" s="1"/>
  <c r="F9" i="3"/>
  <c r="D9" i="3"/>
  <c r="C9" i="3"/>
  <c r="E9" i="3" s="1"/>
  <c r="G82" i="2"/>
  <c r="C82" i="2"/>
  <c r="G81" i="2"/>
  <c r="C81" i="2"/>
  <c r="E81" i="2" s="1"/>
  <c r="E83" i="2" s="1"/>
  <c r="F80" i="2"/>
  <c r="F83" i="2" s="1"/>
  <c r="E80" i="2"/>
  <c r="D80" i="2"/>
  <c r="C80" i="2"/>
  <c r="C75" i="2"/>
  <c r="E75" i="2" s="1"/>
  <c r="G73" i="2"/>
  <c r="C73" i="2"/>
  <c r="F72" i="2"/>
  <c r="D72" i="2"/>
  <c r="G72" i="2" s="1"/>
  <c r="C72" i="2"/>
  <c r="E72" i="2" s="1"/>
  <c r="G71" i="2"/>
  <c r="C71" i="2"/>
  <c r="G70" i="2"/>
  <c r="C70" i="2"/>
  <c r="G69" i="2"/>
  <c r="D69" i="2"/>
  <c r="C69" i="2"/>
  <c r="F69" i="2" s="1"/>
  <c r="F74" i="2" s="1"/>
  <c r="G68" i="2"/>
  <c r="C68" i="2"/>
  <c r="C67" i="2"/>
  <c r="E67" i="2" s="1"/>
  <c r="G67" i="2" s="1"/>
  <c r="C66" i="2"/>
  <c r="D66" i="2" s="1"/>
  <c r="D74" i="2" s="1"/>
  <c r="E57" i="2"/>
  <c r="C56" i="2"/>
  <c r="F56" i="2" s="1"/>
  <c r="G56" i="2" s="1"/>
  <c r="C55" i="2"/>
  <c r="D55" i="2" s="1"/>
  <c r="F49" i="2"/>
  <c r="D49" i="2"/>
  <c r="C49" i="2"/>
  <c r="B59" i="2" s="1"/>
  <c r="G47" i="2"/>
  <c r="C47" i="2"/>
  <c r="G46" i="2"/>
  <c r="C46" i="2"/>
  <c r="E46" i="2" s="1"/>
  <c r="F45" i="2"/>
  <c r="F48" i="2" s="1"/>
  <c r="D45" i="2"/>
  <c r="C45" i="2"/>
  <c r="E45" i="2" s="1"/>
  <c r="E48" i="2" s="1"/>
  <c r="G39" i="2"/>
  <c r="C39" i="2"/>
  <c r="D38" i="2"/>
  <c r="G38" i="2" s="1"/>
  <c r="C38" i="2"/>
  <c r="F38" i="2" s="1"/>
  <c r="G37" i="2"/>
  <c r="C37" i="2"/>
  <c r="C36" i="2"/>
  <c r="G35" i="2"/>
  <c r="C34" i="2"/>
  <c r="E34" i="2" s="1"/>
  <c r="G34" i="2" s="1"/>
  <c r="C33" i="2"/>
  <c r="E33" i="2" s="1"/>
  <c r="B26" i="2"/>
  <c r="C23" i="2"/>
  <c r="F23" i="2" s="1"/>
  <c r="G23" i="2" s="1"/>
  <c r="F22" i="2"/>
  <c r="E22" i="2"/>
  <c r="D22" i="2"/>
  <c r="G22" i="2" s="1"/>
  <c r="C22" i="2"/>
  <c r="E21" i="2"/>
  <c r="E24" i="2" s="1"/>
  <c r="E26" i="2" s="1"/>
  <c r="C21" i="2"/>
  <c r="D21" i="2" s="1"/>
  <c r="G15" i="2"/>
  <c r="C15" i="2"/>
  <c r="E14" i="2"/>
  <c r="G14" i="2" s="1"/>
  <c r="C14" i="2"/>
  <c r="G13" i="2"/>
  <c r="C13" i="2"/>
  <c r="E12" i="2"/>
  <c r="D12" i="2"/>
  <c r="G12" i="2" s="1"/>
  <c r="C12" i="2"/>
  <c r="E11" i="2"/>
  <c r="D11" i="2"/>
  <c r="G11" i="2" s="1"/>
  <c r="C11" i="2"/>
  <c r="E10" i="2"/>
  <c r="E16" i="2" s="1"/>
  <c r="C10" i="2"/>
  <c r="D10" i="2" s="1"/>
  <c r="B108" i="1"/>
  <c r="F105" i="1"/>
  <c r="E105" i="1"/>
  <c r="D105" i="1"/>
  <c r="G105" i="1" s="1"/>
  <c r="C105" i="1"/>
  <c r="G102" i="1"/>
  <c r="C102" i="1"/>
  <c r="C101" i="1"/>
  <c r="E101" i="1" s="1"/>
  <c r="G101" i="1" s="1"/>
  <c r="F100" i="1"/>
  <c r="C100" i="1"/>
  <c r="D100" i="1" s="1"/>
  <c r="G100" i="1" s="1"/>
  <c r="F99" i="1"/>
  <c r="C99" i="1"/>
  <c r="D99" i="1" s="1"/>
  <c r="G99" i="1" s="1"/>
  <c r="F98" i="1"/>
  <c r="D98" i="1"/>
  <c r="C98" i="1"/>
  <c r="E98" i="1" s="1"/>
  <c r="D97" i="1"/>
  <c r="C97" i="1"/>
  <c r="F97" i="1" s="1"/>
  <c r="G97" i="1" s="1"/>
  <c r="D96" i="1"/>
  <c r="C96" i="1"/>
  <c r="F96" i="1" s="1"/>
  <c r="G96" i="1" s="1"/>
  <c r="C95" i="1"/>
  <c r="F95" i="1" s="1"/>
  <c r="G88" i="1"/>
  <c r="C88" i="1"/>
  <c r="G87" i="1"/>
  <c r="C87" i="1"/>
  <c r="C86" i="1"/>
  <c r="F86" i="1" s="1"/>
  <c r="G85" i="1"/>
  <c r="C85" i="1"/>
  <c r="E84" i="1"/>
  <c r="C84" i="1"/>
  <c r="D84" i="1" s="1"/>
  <c r="G84" i="1" s="1"/>
  <c r="E83" i="1"/>
  <c r="G83" i="1" s="1"/>
  <c r="C83" i="1"/>
  <c r="E82" i="1"/>
  <c r="C82" i="1"/>
  <c r="D82" i="1" s="1"/>
  <c r="E81" i="1"/>
  <c r="E89" i="1" s="1"/>
  <c r="D81" i="1"/>
  <c r="G81" i="1" s="1"/>
  <c r="G67" i="1"/>
  <c r="C67" i="1"/>
  <c r="G66" i="1"/>
  <c r="C66" i="1"/>
  <c r="F65" i="1"/>
  <c r="D65" i="1"/>
  <c r="G65" i="1" s="1"/>
  <c r="C65" i="1"/>
  <c r="E65" i="1" s="1"/>
  <c r="D64" i="1"/>
  <c r="C64" i="1"/>
  <c r="F64" i="1" s="1"/>
  <c r="G64" i="1" s="1"/>
  <c r="C63" i="1"/>
  <c r="F63" i="1" s="1"/>
  <c r="F68" i="1" s="1"/>
  <c r="C62" i="1"/>
  <c r="E62" i="1" s="1"/>
  <c r="F56" i="1"/>
  <c r="F57" i="1" s="1"/>
  <c r="C56" i="1"/>
  <c r="G55" i="1"/>
  <c r="C55" i="1"/>
  <c r="C51" i="1"/>
  <c r="F51" i="1" s="1"/>
  <c r="G48" i="1"/>
  <c r="C48" i="1"/>
  <c r="F47" i="1"/>
  <c r="G47" i="1" s="1"/>
  <c r="C47" i="1"/>
  <c r="G46" i="1"/>
  <c r="C46" i="1"/>
  <c r="C45" i="1"/>
  <c r="E45" i="1" s="1"/>
  <c r="G45" i="1" s="1"/>
  <c r="F44" i="1"/>
  <c r="C44" i="1"/>
  <c r="D44" i="1" s="1"/>
  <c r="F43" i="1"/>
  <c r="F49" i="1" s="1"/>
  <c r="E43" i="1"/>
  <c r="E49" i="1" s="1"/>
  <c r="D43" i="1"/>
  <c r="G43" i="1" s="1"/>
  <c r="C43" i="1"/>
  <c r="G42" i="1"/>
  <c r="F42" i="1"/>
  <c r="D42" i="1"/>
  <c r="C42" i="1"/>
  <c r="E37" i="1"/>
  <c r="G36" i="1"/>
  <c r="C36" i="1"/>
  <c r="G35" i="1"/>
  <c r="C35" i="1"/>
  <c r="D34" i="1"/>
  <c r="C34" i="1"/>
  <c r="F34" i="1" s="1"/>
  <c r="G33" i="1"/>
  <c r="E33" i="1"/>
  <c r="D33" i="1"/>
  <c r="D37" i="1" s="1"/>
  <c r="C33" i="1"/>
  <c r="B26" i="1"/>
  <c r="F23" i="1"/>
  <c r="G23" i="1" s="1"/>
  <c r="C23" i="1"/>
  <c r="C22" i="1"/>
  <c r="F22" i="1" s="1"/>
  <c r="F21" i="1"/>
  <c r="D21" i="1"/>
  <c r="G21" i="1" s="1"/>
  <c r="C21" i="1"/>
  <c r="E21" i="1" s="1"/>
  <c r="C13" i="1"/>
  <c r="E13" i="1" s="1"/>
  <c r="G13" i="1" s="1"/>
  <c r="C12" i="1"/>
  <c r="F12" i="1" s="1"/>
  <c r="F11" i="1"/>
  <c r="F16" i="1" s="1"/>
  <c r="D11" i="1"/>
  <c r="C11" i="1"/>
  <c r="E11" i="1" s="1"/>
  <c r="D10" i="1"/>
  <c r="C10" i="1"/>
  <c r="E10" i="1" s="1"/>
  <c r="D9" i="1"/>
  <c r="C9" i="1"/>
  <c r="E9" i="1" s="1"/>
  <c r="G49" i="1" l="1"/>
  <c r="F73" i="1"/>
  <c r="E76" i="3"/>
  <c r="G10" i="1"/>
  <c r="F24" i="1"/>
  <c r="F26" i="1" s="1"/>
  <c r="D49" i="1"/>
  <c r="G44" i="1"/>
  <c r="F104" i="1"/>
  <c r="D16" i="2"/>
  <c r="E16" i="1"/>
  <c r="F37" i="1"/>
  <c r="G34" i="1"/>
  <c r="G37" i="1" s="1"/>
  <c r="G11" i="1"/>
  <c r="E68" i="1"/>
  <c r="G98" i="1"/>
  <c r="D24" i="2"/>
  <c r="G21" i="2"/>
  <c r="G24" i="2" s="1"/>
  <c r="F36" i="2"/>
  <c r="F40" i="2" s="1"/>
  <c r="D36" i="2"/>
  <c r="G73" i="3"/>
  <c r="F110" i="3"/>
  <c r="E110" i="3"/>
  <c r="E112" i="3" s="1"/>
  <c r="B112" i="3"/>
  <c r="B115" i="3" s="1"/>
  <c r="D110" i="3"/>
  <c r="E10" i="4"/>
  <c r="D10" i="4"/>
  <c r="G10" i="4" s="1"/>
  <c r="D31" i="4"/>
  <c r="E31" i="4"/>
  <c r="F17" i="6"/>
  <c r="F19" i="6" s="1"/>
  <c r="D17" i="6"/>
  <c r="E17" i="6"/>
  <c r="E19" i="6" s="1"/>
  <c r="E21" i="6" s="1"/>
  <c r="B73" i="6"/>
  <c r="D70" i="6"/>
  <c r="F70" i="6"/>
  <c r="E70" i="6"/>
  <c r="D12" i="1"/>
  <c r="G12" i="1" s="1"/>
  <c r="D22" i="1"/>
  <c r="D24" i="1" s="1"/>
  <c r="D51" i="1"/>
  <c r="G56" i="1"/>
  <c r="G57" i="1" s="1"/>
  <c r="D62" i="1"/>
  <c r="D63" i="1"/>
  <c r="G63" i="1" s="1"/>
  <c r="F82" i="1"/>
  <c r="F89" i="1" s="1"/>
  <c r="F108" i="1" s="1"/>
  <c r="F111" i="1" s="1"/>
  <c r="D86" i="1"/>
  <c r="G86" i="1" s="1"/>
  <c r="D95" i="1"/>
  <c r="F10" i="2"/>
  <c r="F16" i="2" s="1"/>
  <c r="F21" i="2"/>
  <c r="F24" i="2" s="1"/>
  <c r="D33" i="2"/>
  <c r="E36" i="2"/>
  <c r="E40" i="2" s="1"/>
  <c r="D48" i="2"/>
  <c r="G45" i="2"/>
  <c r="G48" i="2" s="1"/>
  <c r="F55" i="2"/>
  <c r="F57" i="2" s="1"/>
  <c r="F59" i="2" s="1"/>
  <c r="E66" i="2"/>
  <c r="E74" i="2" s="1"/>
  <c r="E86" i="2" s="1"/>
  <c r="F15" i="3"/>
  <c r="F17" i="3" s="1"/>
  <c r="G45" i="3"/>
  <c r="D49" i="3"/>
  <c r="F49" i="3"/>
  <c r="F52" i="3" s="1"/>
  <c r="G62" i="3"/>
  <c r="D71" i="3"/>
  <c r="G69" i="3"/>
  <c r="G71" i="3" s="1"/>
  <c r="G86" i="3"/>
  <c r="G9" i="4"/>
  <c r="E11" i="4"/>
  <c r="D11" i="4"/>
  <c r="G11" i="4" s="1"/>
  <c r="E82" i="4"/>
  <c r="G78" i="4"/>
  <c r="G82" i="4" s="1"/>
  <c r="E93" i="4"/>
  <c r="E51" i="1"/>
  <c r="B73" i="1"/>
  <c r="B111" i="1" s="1"/>
  <c r="E95" i="1"/>
  <c r="E104" i="1" s="1"/>
  <c r="E108" i="1" s="1"/>
  <c r="G49" i="2"/>
  <c r="E17" i="3"/>
  <c r="D21" i="3"/>
  <c r="F21" i="3"/>
  <c r="F23" i="3" s="1"/>
  <c r="G32" i="3"/>
  <c r="F57" i="3"/>
  <c r="F65" i="3" s="1"/>
  <c r="D57" i="3"/>
  <c r="G84" i="3"/>
  <c r="D97" i="3"/>
  <c r="B96" i="4"/>
  <c r="G67" i="6"/>
  <c r="F68" i="6"/>
  <c r="G54" i="5"/>
  <c r="E21" i="7"/>
  <c r="D21" i="7"/>
  <c r="G21" i="7" s="1"/>
  <c r="G23" i="7" s="1"/>
  <c r="F21" i="7"/>
  <c r="F23" i="7" s="1"/>
  <c r="D57" i="2"/>
  <c r="G55" i="2"/>
  <c r="G57" i="2" s="1"/>
  <c r="G66" i="2"/>
  <c r="G74" i="2" s="1"/>
  <c r="B86" i="2"/>
  <c r="B89" i="2" s="1"/>
  <c r="F75" i="2"/>
  <c r="F86" i="2" s="1"/>
  <c r="D75" i="2"/>
  <c r="G75" i="2" s="1"/>
  <c r="D83" i="2"/>
  <c r="D86" i="2" s="1"/>
  <c r="G80" i="2"/>
  <c r="G83" i="2" s="1"/>
  <c r="G9" i="1"/>
  <c r="G16" i="1" s="1"/>
  <c r="E22" i="1"/>
  <c r="E24" i="1" s="1"/>
  <c r="E26" i="1" s="1"/>
  <c r="E63" i="1"/>
  <c r="G9" i="3"/>
  <c r="E21" i="3"/>
  <c r="E23" i="3" s="1"/>
  <c r="G37" i="3"/>
  <c r="G46" i="3"/>
  <c r="E57" i="3"/>
  <c r="E65" i="3" s="1"/>
  <c r="G83" i="3"/>
  <c r="F103" i="3"/>
  <c r="F109" i="3" s="1"/>
  <c r="E103" i="3"/>
  <c r="E109" i="3" s="1"/>
  <c r="D103" i="3"/>
  <c r="G66" i="6"/>
  <c r="G68" i="6" s="1"/>
  <c r="D68" i="6"/>
  <c r="D34" i="5"/>
  <c r="G32" i="5"/>
  <c r="G34" i="5" s="1"/>
  <c r="E43" i="7"/>
  <c r="E51" i="7" s="1"/>
  <c r="D43" i="7"/>
  <c r="E49" i="2"/>
  <c r="E59" i="2" s="1"/>
  <c r="F94" i="3"/>
  <c r="F97" i="3" s="1"/>
  <c r="D50" i="4"/>
  <c r="G50" i="4" s="1"/>
  <c r="F50" i="4"/>
  <c r="G55" i="4"/>
  <c r="D62" i="4"/>
  <c r="F57" i="4"/>
  <c r="F62" i="4" s="1"/>
  <c r="F71" i="4" s="1"/>
  <c r="D57" i="4"/>
  <c r="B71" i="4"/>
  <c r="D82" i="4"/>
  <c r="G83" i="4"/>
  <c r="F8" i="6"/>
  <c r="F12" i="6" s="1"/>
  <c r="D8" i="6"/>
  <c r="G32" i="6"/>
  <c r="G34" i="6" s="1"/>
  <c r="E39" i="5"/>
  <c r="D39" i="5"/>
  <c r="F39" i="5"/>
  <c r="F43" i="5" s="1"/>
  <c r="E78" i="5"/>
  <c r="D78" i="5"/>
  <c r="F78" i="5"/>
  <c r="F84" i="5" s="1"/>
  <c r="F99" i="5" s="1"/>
  <c r="F102" i="5" s="1"/>
  <c r="G89" i="7"/>
  <c r="G95" i="7" s="1"/>
  <c r="D95" i="7"/>
  <c r="F32" i="4"/>
  <c r="F37" i="4" s="1"/>
  <c r="D32" i="4"/>
  <c r="D45" i="4"/>
  <c r="F45" i="4"/>
  <c r="F49" i="4" s="1"/>
  <c r="G46" i="4"/>
  <c r="G46" i="6"/>
  <c r="E82" i="6"/>
  <c r="D82" i="6"/>
  <c r="G82" i="6" s="1"/>
  <c r="F82" i="6"/>
  <c r="F45" i="7"/>
  <c r="F51" i="7" s="1"/>
  <c r="D45" i="7"/>
  <c r="G45" i="7" s="1"/>
  <c r="D59" i="7"/>
  <c r="E32" i="4"/>
  <c r="E45" i="4"/>
  <c r="E49" i="4" s="1"/>
  <c r="G56" i="4"/>
  <c r="F88" i="4"/>
  <c r="F91" i="4" s="1"/>
  <c r="F93" i="4" s="1"/>
  <c r="D88" i="4"/>
  <c r="F41" i="6"/>
  <c r="D41" i="6"/>
  <c r="F46" i="6"/>
  <c r="E55" i="6"/>
  <c r="E62" i="6" s="1"/>
  <c r="D58" i="6"/>
  <c r="G58" i="6" s="1"/>
  <c r="F58" i="6"/>
  <c r="F62" i="6" s="1"/>
  <c r="G94" i="6"/>
  <c r="D23" i="5"/>
  <c r="G21" i="5"/>
  <c r="G23" i="5" s="1"/>
  <c r="G11" i="7"/>
  <c r="D16" i="7"/>
  <c r="D25" i="7" s="1"/>
  <c r="F78" i="7"/>
  <c r="E78" i="7"/>
  <c r="D78" i="7"/>
  <c r="G78" i="7" s="1"/>
  <c r="F81" i="6"/>
  <c r="F87" i="6" s="1"/>
  <c r="E81" i="6"/>
  <c r="E86" i="6"/>
  <c r="D86" i="6"/>
  <c r="G86" i="6" s="1"/>
  <c r="E93" i="6"/>
  <c r="E96" i="6" s="1"/>
  <c r="D93" i="6"/>
  <c r="F111" i="6"/>
  <c r="E15" i="5"/>
  <c r="D15" i="5"/>
  <c r="G49" i="5"/>
  <c r="E90" i="5"/>
  <c r="E94" i="5" s="1"/>
  <c r="E99" i="5" s="1"/>
  <c r="D90" i="5"/>
  <c r="G91" i="5"/>
  <c r="G9" i="7"/>
  <c r="G10" i="7"/>
  <c r="F33" i="7"/>
  <c r="D33" i="7"/>
  <c r="E80" i="7"/>
  <c r="D80" i="7"/>
  <c r="E97" i="7"/>
  <c r="B100" i="7"/>
  <c r="B103" i="7" s="1"/>
  <c r="D97" i="7"/>
  <c r="E42" i="5"/>
  <c r="D42" i="5"/>
  <c r="F60" i="5"/>
  <c r="D60" i="5"/>
  <c r="F66" i="5"/>
  <c r="F68" i="5" s="1"/>
  <c r="D66" i="5"/>
  <c r="E77" i="5"/>
  <c r="E84" i="5" s="1"/>
  <c r="D77" i="5"/>
  <c r="E16" i="7"/>
  <c r="E25" i="7" s="1"/>
  <c r="F32" i="7"/>
  <c r="E32" i="7"/>
  <c r="E38" i="7" s="1"/>
  <c r="B111" i="6"/>
  <c r="B114" i="6" s="1"/>
  <c r="E8" i="5"/>
  <c r="E16" i="5" s="1"/>
  <c r="E25" i="5" s="1"/>
  <c r="D8" i="5"/>
  <c r="E34" i="5"/>
  <c r="F42" i="5"/>
  <c r="F61" i="5"/>
  <c r="F70" i="5" s="1"/>
  <c r="F59" i="5"/>
  <c r="G59" i="5" s="1"/>
  <c r="E59" i="5"/>
  <c r="E61" i="5" s="1"/>
  <c r="G95" i="5"/>
  <c r="F16" i="7"/>
  <c r="D32" i="7"/>
  <c r="F34" i="7"/>
  <c r="D34" i="7"/>
  <c r="G34" i="7" s="1"/>
  <c r="D44" i="7"/>
  <c r="G44" i="7" s="1"/>
  <c r="F56" i="7"/>
  <c r="F59" i="7" s="1"/>
  <c r="E56" i="7"/>
  <c r="E59" i="7" s="1"/>
  <c r="E70" i="7" s="1"/>
  <c r="G60" i="7"/>
  <c r="D67" i="7"/>
  <c r="G65" i="7"/>
  <c r="G67" i="7" s="1"/>
  <c r="F79" i="7"/>
  <c r="F84" i="7" s="1"/>
  <c r="F100" i="7" s="1"/>
  <c r="D79" i="7"/>
  <c r="F95" i="7"/>
  <c r="B70" i="7"/>
  <c r="D107" i="6"/>
  <c r="E89" i="2" l="1"/>
  <c r="F76" i="3"/>
  <c r="F89" i="2"/>
  <c r="D26" i="1"/>
  <c r="D25" i="5"/>
  <c r="D91" i="4"/>
  <c r="D93" i="4" s="1"/>
  <c r="G88" i="4"/>
  <c r="G91" i="4" s="1"/>
  <c r="G93" i="4" s="1"/>
  <c r="D49" i="4"/>
  <c r="D71" i="4" s="1"/>
  <c r="G45" i="4"/>
  <c r="G49" i="4" s="1"/>
  <c r="D87" i="6"/>
  <c r="G66" i="5"/>
  <c r="G68" i="5" s="1"/>
  <c r="D68" i="5"/>
  <c r="E84" i="7"/>
  <c r="G32" i="4"/>
  <c r="D43" i="5"/>
  <c r="G39" i="5"/>
  <c r="E25" i="3"/>
  <c r="G17" i="6"/>
  <c r="G19" i="6" s="1"/>
  <c r="G21" i="6" s="1"/>
  <c r="D19" i="6"/>
  <c r="E115" i="3"/>
  <c r="E73" i="1"/>
  <c r="E111" i="1" s="1"/>
  <c r="F38" i="7"/>
  <c r="G42" i="5"/>
  <c r="G16" i="7"/>
  <c r="G25" i="7" s="1"/>
  <c r="G89" i="3"/>
  <c r="G39" i="3"/>
  <c r="G22" i="1"/>
  <c r="G24" i="1" s="1"/>
  <c r="G26" i="1" s="1"/>
  <c r="F70" i="7"/>
  <c r="F103" i="7" s="1"/>
  <c r="D38" i="7"/>
  <c r="G32" i="7"/>
  <c r="D84" i="7"/>
  <c r="G33" i="7"/>
  <c r="G93" i="6"/>
  <c r="G96" i="6" s="1"/>
  <c r="D96" i="6"/>
  <c r="E87" i="6"/>
  <c r="E111" i="6" s="1"/>
  <c r="E114" i="6" s="1"/>
  <c r="G41" i="6"/>
  <c r="G49" i="6" s="1"/>
  <c r="D49" i="6"/>
  <c r="G56" i="7"/>
  <c r="G59" i="7" s="1"/>
  <c r="G55" i="6"/>
  <c r="G62" i="6" s="1"/>
  <c r="G78" i="5"/>
  <c r="E43" i="5"/>
  <c r="E70" i="5" s="1"/>
  <c r="E102" i="5" s="1"/>
  <c r="G8" i="6"/>
  <c r="G12" i="6" s="1"/>
  <c r="D12" i="6"/>
  <c r="G62" i="4"/>
  <c r="D109" i="3"/>
  <c r="G103" i="3"/>
  <c r="G109" i="3" s="1"/>
  <c r="G15" i="3"/>
  <c r="G17" i="3" s="1"/>
  <c r="D59" i="2"/>
  <c r="D89" i="2" s="1"/>
  <c r="F25" i="3"/>
  <c r="G15" i="4"/>
  <c r="G24" i="4" s="1"/>
  <c r="G49" i="3"/>
  <c r="G52" i="3" s="1"/>
  <c r="G76" i="3" s="1"/>
  <c r="D52" i="3"/>
  <c r="D40" i="2"/>
  <c r="G33" i="2"/>
  <c r="D104" i="1"/>
  <c r="G95" i="1"/>
  <c r="G104" i="1" s="1"/>
  <c r="G62" i="1"/>
  <c r="G68" i="1" s="1"/>
  <c r="D68" i="1"/>
  <c r="D73" i="1" s="1"/>
  <c r="G70" i="6"/>
  <c r="F21" i="6"/>
  <c r="E15" i="4"/>
  <c r="E24" i="4" s="1"/>
  <c r="F112" i="3"/>
  <c r="F115" i="3" s="1"/>
  <c r="D26" i="2"/>
  <c r="G107" i="6"/>
  <c r="D111" i="6"/>
  <c r="G90" i="5"/>
  <c r="G94" i="5" s="1"/>
  <c r="D94" i="5"/>
  <c r="G99" i="5"/>
  <c r="E100" i="7"/>
  <c r="E103" i="7" s="1"/>
  <c r="F96" i="4"/>
  <c r="G79" i="7"/>
  <c r="G84" i="7" s="1"/>
  <c r="D16" i="5"/>
  <c r="G8" i="5"/>
  <c r="G16" i="5" s="1"/>
  <c r="D84" i="5"/>
  <c r="G77" i="5"/>
  <c r="G84" i="5" s="1"/>
  <c r="G60" i="5"/>
  <c r="G61" i="5" s="1"/>
  <c r="D100" i="7"/>
  <c r="G97" i="7"/>
  <c r="G80" i="7"/>
  <c r="G15" i="5"/>
  <c r="G25" i="5"/>
  <c r="F49" i="6"/>
  <c r="F73" i="6" s="1"/>
  <c r="F114" i="6" s="1"/>
  <c r="D62" i="6"/>
  <c r="D73" i="6" s="1"/>
  <c r="G81" i="6"/>
  <c r="G87" i="6" s="1"/>
  <c r="G57" i="4"/>
  <c r="G43" i="7"/>
  <c r="G51" i="7" s="1"/>
  <c r="D51" i="7"/>
  <c r="D70" i="7" s="1"/>
  <c r="G86" i="2"/>
  <c r="F25" i="7"/>
  <c r="D61" i="5"/>
  <c r="D70" i="5" s="1"/>
  <c r="D65" i="3"/>
  <c r="D76" i="3" s="1"/>
  <c r="G57" i="3"/>
  <c r="G65" i="3" s="1"/>
  <c r="D23" i="3"/>
  <c r="D25" i="3" s="1"/>
  <c r="G21" i="3"/>
  <c r="G23" i="3" s="1"/>
  <c r="D15" i="4"/>
  <c r="D24" i="4" s="1"/>
  <c r="F26" i="2"/>
  <c r="E37" i="4"/>
  <c r="E71" i="4" s="1"/>
  <c r="E96" i="4" s="1"/>
  <c r="D112" i="3"/>
  <c r="D115" i="3" s="1"/>
  <c r="G110" i="3"/>
  <c r="G94" i="3"/>
  <c r="G97" i="3" s="1"/>
  <c r="G36" i="2"/>
  <c r="G82" i="1"/>
  <c r="G89" i="1" s="1"/>
  <c r="G51" i="1"/>
  <c r="E73" i="6"/>
  <c r="G31" i="4"/>
  <c r="G37" i="4" s="1"/>
  <c r="D37" i="4"/>
  <c r="D16" i="1"/>
  <c r="G10" i="2"/>
  <c r="G16" i="2" s="1"/>
  <c r="G26" i="2" s="1"/>
  <c r="D89" i="1"/>
  <c r="G25" i="3" l="1"/>
  <c r="G100" i="7"/>
  <c r="G71" i="4"/>
  <c r="D103" i="7"/>
  <c r="G111" i="6"/>
  <c r="G73" i="1"/>
  <c r="G96" i="4"/>
  <c r="D114" i="6"/>
  <c r="G40" i="2"/>
  <c r="G59" i="2" s="1"/>
  <c r="G89" i="2" s="1"/>
  <c r="G112" i="3"/>
  <c r="D99" i="5"/>
  <c r="D102" i="5" s="1"/>
  <c r="G73" i="6"/>
  <c r="G108" i="1"/>
  <c r="G111" i="1" s="1"/>
  <c r="D21" i="6"/>
  <c r="D96" i="4"/>
  <c r="D108" i="1"/>
  <c r="D111" i="1" s="1"/>
  <c r="G38" i="7"/>
  <c r="G70" i="7" s="1"/>
  <c r="G43" i="5"/>
  <c r="G70" i="5" s="1"/>
  <c r="G102" i="5" s="1"/>
  <c r="G114" i="6" l="1"/>
  <c r="G103" i="7"/>
  <c r="G115" i="3"/>
</calcChain>
</file>

<file path=xl/sharedStrings.xml><?xml version="1.0" encoding="utf-8"?>
<sst xmlns="http://schemas.openxmlformats.org/spreadsheetml/2006/main" count="1003" uniqueCount="138">
  <si>
    <t>პროდუქტის დასახელება</t>
  </si>
  <si>
    <t>რაოდენობა, გ</t>
  </si>
  <si>
    <t>ცილები, გ</t>
  </si>
  <si>
    <t>ცხიმები, გ</t>
  </si>
  <si>
    <t>ნახშირწყლები, გ</t>
  </si>
  <si>
    <t>ენერგეტიკული ღირებულება</t>
  </si>
  <si>
    <t>ბრუტო</t>
  </si>
  <si>
    <t>ნეტო</t>
  </si>
  <si>
    <t>კკალ</t>
  </si>
  <si>
    <t>კარაქი</t>
  </si>
  <si>
    <t>შაქარი</t>
  </si>
  <si>
    <t>მარილი</t>
  </si>
  <si>
    <t>წყალი</t>
  </si>
  <si>
    <t>გამოსავალი</t>
  </si>
  <si>
    <t xml:space="preserve">პური </t>
  </si>
  <si>
    <t>კიტრი</t>
  </si>
  <si>
    <t>პომიდორი</t>
  </si>
  <si>
    <t>არაჟანი</t>
  </si>
  <si>
    <t>ბრინჯი</t>
  </si>
  <si>
    <t>სტაფილო</t>
  </si>
  <si>
    <t>მწვანილი</t>
  </si>
  <si>
    <t>ხახვი</t>
  </si>
  <si>
    <t>ხორცი საქონლის</t>
  </si>
  <si>
    <t>კარტოფილი</t>
  </si>
  <si>
    <t>ზეთი</t>
  </si>
  <si>
    <t>კომბოსტო</t>
  </si>
  <si>
    <t>სანელებლები</t>
  </si>
  <si>
    <t>ნიორი</t>
  </si>
  <si>
    <t>სამშაბათი</t>
  </si>
  <si>
    <t>ქათამი  მოხარშული,  შებრაწული  ნივრით  და  არაჟნით</t>
  </si>
  <si>
    <t>ნახშირწყლები</t>
  </si>
  <si>
    <t>ქათმის ხორცი მოხარშული</t>
  </si>
  <si>
    <t xml:space="preserve">არაჟანი </t>
  </si>
  <si>
    <t xml:space="preserve">კარაქი </t>
  </si>
  <si>
    <t>წიწიბურას  გარნირი</t>
  </si>
  <si>
    <t>წიწიბურა</t>
  </si>
  <si>
    <t>თევზი</t>
  </si>
  <si>
    <t>ფქვილი</t>
  </si>
  <si>
    <t xml:space="preserve"> ბოსტნეულის გარნირი</t>
  </si>
  <si>
    <t>ხორბლის ფქვილი I ხარისხის</t>
  </si>
  <si>
    <t>ცხიმი</t>
  </si>
  <si>
    <t>საფუარი</t>
  </si>
  <si>
    <t xml:space="preserve"> ხორცი მოხარშული ბოსტნეულის გარნირით</t>
  </si>
  <si>
    <t>ტომატ–პასტა</t>
  </si>
  <si>
    <t>ფლავი ხორციანი</t>
  </si>
  <si>
    <t>საქონლის ხორცი (I კატეგორიის)</t>
  </si>
  <si>
    <t>ცხოველური ცხიმები (კარაქი 82%)</t>
  </si>
  <si>
    <t>ყავა  რძით</t>
  </si>
  <si>
    <t xml:space="preserve">ყავა  </t>
  </si>
  <si>
    <t>რძე</t>
  </si>
  <si>
    <t>შავი  პილპილი</t>
  </si>
  <si>
    <t>მაკარონი  მოხარშული  ხორცით</t>
  </si>
  <si>
    <t xml:space="preserve">საქონლის ხორცი </t>
  </si>
  <si>
    <t xml:space="preserve">მაკარონი </t>
  </si>
  <si>
    <t>კვერცხი (ცალობით)</t>
  </si>
  <si>
    <t>60/250</t>
  </si>
  <si>
    <t>სალათი  ხაბახუბა  (ვინეგრეთი)</t>
  </si>
  <si>
    <t>ჭარხალი</t>
  </si>
  <si>
    <t>მჟავე კიტრი</t>
  </si>
  <si>
    <t>ლობიო</t>
  </si>
  <si>
    <t>ქათმის ხორცი</t>
  </si>
  <si>
    <t>ხაჭაპური</t>
  </si>
  <si>
    <t>ხორბლის ფქვილი</t>
  </si>
  <si>
    <t>ყველი იმერული</t>
  </si>
  <si>
    <t>კვერცხი</t>
  </si>
  <si>
    <t>კარაქი ნაღების</t>
  </si>
  <si>
    <t>კომპოტი ჩირის</t>
  </si>
  <si>
    <t>ჩირი სხვადახვა</t>
  </si>
  <si>
    <t>ქათმის ჩახოხბილი მაკარონის გარნირით</t>
  </si>
  <si>
    <t>149/220</t>
  </si>
  <si>
    <t>მაკარონის გარნირი</t>
  </si>
  <si>
    <t>მაკარონი</t>
  </si>
  <si>
    <t>ოთხშაბათი</t>
  </si>
  <si>
    <t>შავი  ქლიავი</t>
  </si>
  <si>
    <t>წიწიბურას გარნირი</t>
  </si>
  <si>
    <t>ბოსტნეულის  სალათი</t>
  </si>
  <si>
    <t>კომბოსტოს მწნილი</t>
  </si>
  <si>
    <t>წიწაკა</t>
  </si>
  <si>
    <t>ლობიო ამოლესილი</t>
  </si>
  <si>
    <t>სტაფილოსა  და  კომბოსტოს  სალათი</t>
  </si>
  <si>
    <t>ლიმონის წვენი</t>
  </si>
  <si>
    <t>ჩაი ხილის</t>
  </si>
  <si>
    <t>ბოსტნეულის სალათი</t>
  </si>
  <si>
    <t>თევზი   შემწვარი მაკარონის გარნირით</t>
  </si>
  <si>
    <t>კომბოსტო თავხვეულა</t>
  </si>
  <si>
    <t>წიწაკა ბულგარული</t>
  </si>
  <si>
    <t>მუხუდო მწვანე კონსერვირებული</t>
  </si>
  <si>
    <t>ლიმონი ცალობით</t>
  </si>
  <si>
    <t>ქათამი  შემწვარი  წიწიბურას გარნირით და ტყემლის  საწებლით</t>
  </si>
  <si>
    <t xml:space="preserve">ქათამი </t>
  </si>
  <si>
    <t>ცხოველური ცხიმი</t>
  </si>
  <si>
    <t>ტყემლის საწებელი</t>
  </si>
  <si>
    <t>კატლეტი  საქონლის  ხორცის</t>
  </si>
  <si>
    <t>საქონლის ხორცი</t>
  </si>
  <si>
    <t>კარტოფილის პიურე</t>
  </si>
  <si>
    <t>ნატურალური რძე</t>
  </si>
  <si>
    <t>პური   თეთრი</t>
  </si>
  <si>
    <t>პური თეთრი</t>
  </si>
  <si>
    <t>ქათმის  ფილე  შემწვარი</t>
  </si>
  <si>
    <t>ქათმის ფილე</t>
  </si>
  <si>
    <t>საფანელი</t>
  </si>
  <si>
    <t>ვერმიშელის  გარნირი</t>
  </si>
  <si>
    <t>ვერმიშელი</t>
  </si>
  <si>
    <t>ხორცის რაგუ "ოჯახური"</t>
  </si>
  <si>
    <t>ტომატ-პასტა</t>
  </si>
  <si>
    <t>შემწვარი კარტოფილი</t>
  </si>
  <si>
    <t>ქათმის ფლავი</t>
  </si>
  <si>
    <t xml:space="preserve">მაწონი </t>
  </si>
  <si>
    <t>ორშაბათი</t>
  </si>
  <si>
    <t>I  კვება</t>
  </si>
  <si>
    <t xml:space="preserve">I  კვება სულ </t>
  </si>
  <si>
    <t xml:space="preserve"> სულ  დღეში</t>
  </si>
  <si>
    <t>98/125</t>
  </si>
  <si>
    <t>დანართი №11.3</t>
  </si>
  <si>
    <t>ხორცი ჩაშუშული  შავი  ქლიავით</t>
  </si>
  <si>
    <t>ანტრეკოტი  ხახვით  და  შემწვარი  კარტოფილის გარნირით</t>
  </si>
  <si>
    <t>შემწვარი  კარტოფილი გარნირი</t>
  </si>
  <si>
    <t>კარტოფილის    ღვეზელი</t>
  </si>
  <si>
    <t>ლულა ქაბაბი</t>
  </si>
  <si>
    <t>საქონლის  ხორცი რბილი</t>
  </si>
  <si>
    <t>კოწახური  ხმელი</t>
  </si>
  <si>
    <t>მწვანილი და ხახვი ზემოდან  მოსაყრელად</t>
  </si>
  <si>
    <t>ლავაში  შესახვევად</t>
  </si>
  <si>
    <t>ანტრეკოტი  ხახვით</t>
  </si>
  <si>
    <t xml:space="preserve">II  კვება სულ </t>
  </si>
  <si>
    <t>III  კვება</t>
  </si>
  <si>
    <t>ხაჭოს   მობრაწულა</t>
  </si>
  <si>
    <t>ხაჭო</t>
  </si>
  <si>
    <t>ვანილი</t>
  </si>
  <si>
    <t xml:space="preserve">II კვება სულ </t>
  </si>
  <si>
    <t>ჯემი</t>
  </si>
  <si>
    <t>ოლადები  ჯემით</t>
  </si>
  <si>
    <t>ომლეტი  მოხარშული  ხორცით</t>
  </si>
  <si>
    <t>საქონლის ხორცი (რბილი)</t>
  </si>
  <si>
    <t>III კვება</t>
  </si>
  <si>
    <t>II კვება</t>
  </si>
  <si>
    <t xml:space="preserve">III კვება სულ </t>
  </si>
  <si>
    <t>პენიტენციურ დაწესებულებებსა და მათ ტერიტორიაზე მყოფ (მათ შორის, საზოგადოებრივი მისაღების სამმართველოს), აგრეთვე, სპეციალური პენიტენციური სამსახურის პენიტენციური დეპარტამენტის გარე დაცვისა და ინფორმაციულ-ტექნიკური უსაფრთხოების მთავარი სამმართველოს წვევამდელთა მომზადების განყოფილების მოსამსახურეთა სამჯერადი კვების ერთკვირიანი მენიუ 
შემოდგომა-ზამთარი 
I კვირა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</si>
</sst>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Sylfaen"/>
      <family val="1"/>
    </font>
    <font>
      <sz val="10"/>
      <name val="Sylfaen"/>
      <family val="1"/>
    </font>
    <font>
      <b/>
      <sz val="10"/>
      <color theme="1"/>
      <name val="Sylfaen"/>
      <family val="1"/>
    </font>
    <font>
      <b/>
      <sz val="10"/>
      <name val="Sylfaen"/>
      <family val="1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4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2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/>
    <xf numFmtId="2" fontId="3" fillId="0" borderId="2" xfId="0" applyNumberFormat="1" applyFont="1" applyBorder="1" applyAlignment="1">
      <alignment horizontal="center" vertical="center"/>
    </xf>
    <xf numFmtId="0" fontId="2" fillId="0" borderId="0" xfId="0" applyFont="1" applyFill="1"/>
    <xf numFmtId="0" fontId="4" fillId="0" borderId="0" xfId="0" applyFont="1" applyAlignment="1">
      <alignment horizontal="center" wrapText="1"/>
    </xf>
    <xf numFmtId="0" fontId="4" fillId="2" borderId="0" xfId="0" applyFont="1" applyFill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wrapText="1"/>
    </xf>
    <xf numFmtId="2" fontId="2" fillId="2" borderId="2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justify" vertical="top" wrapText="1"/>
    </xf>
    <xf numFmtId="2" fontId="2" fillId="0" borderId="0" xfId="0" applyNumberFormat="1" applyFont="1" applyBorder="1" applyAlignment="1">
      <alignment horizontal="center" vertical="center" wrapText="1"/>
    </xf>
    <xf numFmtId="0" fontId="4" fillId="3" borderId="0" xfId="0" applyFont="1" applyFill="1" applyBorder="1" applyAlignment="1">
      <alignment horizontal="justify" vertical="top" wrapText="1"/>
    </xf>
    <xf numFmtId="0" fontId="3" fillId="0" borderId="2" xfId="0" applyFont="1" applyBorder="1" applyAlignment="1">
      <alignment horizontal="justify" vertical="top" wrapText="1"/>
    </xf>
    <xf numFmtId="0" fontId="4" fillId="0" borderId="2" xfId="0" applyFont="1" applyBorder="1" applyAlignment="1">
      <alignment horizontal="justify" vertical="top" wrapText="1"/>
    </xf>
    <xf numFmtId="0" fontId="4" fillId="0" borderId="0" xfId="0" applyFont="1"/>
    <xf numFmtId="2" fontId="4" fillId="0" borderId="3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/>
    </xf>
    <xf numFmtId="2" fontId="2" fillId="0" borderId="2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justify" vertical="top" wrapText="1"/>
    </xf>
    <xf numFmtId="2" fontId="4" fillId="0" borderId="7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2" fontId="4" fillId="2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/>
    <xf numFmtId="0" fontId="4" fillId="2" borderId="2" xfId="0" applyFont="1" applyFill="1" applyBorder="1"/>
    <xf numFmtId="2" fontId="2" fillId="2" borderId="2" xfId="0" applyNumberFormat="1" applyFont="1" applyFill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0" fontId="4" fillId="2" borderId="0" xfId="0" applyFont="1" applyFill="1" applyBorder="1" applyAlignment="1">
      <alignment horizontal="justify" vertical="top" wrapText="1"/>
    </xf>
    <xf numFmtId="0" fontId="3" fillId="0" borderId="2" xfId="0" applyFont="1" applyFill="1" applyBorder="1" applyAlignment="1">
      <alignment vertical="center"/>
    </xf>
    <xf numFmtId="0" fontId="6" fillId="0" borderId="0" xfId="0" applyFont="1"/>
    <xf numFmtId="0" fontId="4" fillId="0" borderId="1" xfId="0" applyFont="1" applyBorder="1" applyAlignment="1">
      <alignment horizontal="left" vertical="center"/>
    </xf>
    <xf numFmtId="2" fontId="4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justify" vertical="top" wrapText="1"/>
    </xf>
    <xf numFmtId="0" fontId="4" fillId="0" borderId="2" xfId="0" applyFont="1" applyFill="1" applyBorder="1" applyAlignment="1">
      <alignment horizontal="justify" vertical="top" wrapText="1"/>
    </xf>
    <xf numFmtId="2" fontId="4" fillId="0" borderId="2" xfId="0" applyNumberFormat="1" applyFont="1" applyFill="1" applyBorder="1" applyAlignment="1">
      <alignment horizontal="center" vertical="center" wrapText="1"/>
    </xf>
    <xf numFmtId="2" fontId="4" fillId="0" borderId="5" xfId="0" applyNumberFormat="1" applyFont="1" applyFill="1" applyBorder="1" applyAlignment="1">
      <alignment horizontal="center" vertical="center" wrapText="1"/>
    </xf>
    <xf numFmtId="2" fontId="4" fillId="0" borderId="6" xfId="0" applyNumberFormat="1" applyFont="1" applyFill="1" applyBorder="1" applyAlignment="1">
      <alignment horizontal="center" vertical="center" wrapText="1"/>
    </xf>
    <xf numFmtId="2" fontId="4" fillId="0" borderId="3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2" fontId="2" fillId="0" borderId="5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2" borderId="0" xfId="0" applyFont="1" applyFill="1" applyBorder="1" applyAlignment="1">
      <alignment horizontal="left" vertical="top" wrapText="1"/>
    </xf>
    <xf numFmtId="0" fontId="4" fillId="3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2" fontId="2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2" fontId="4" fillId="0" borderId="0" xfId="0" applyNumberFormat="1" applyFont="1"/>
    <xf numFmtId="0" fontId="4" fillId="4" borderId="0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2" fillId="4" borderId="0" xfId="0" applyFont="1" applyFill="1"/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" fontId="2" fillId="4" borderId="2" xfId="0" applyNumberFormat="1" applyFont="1" applyFill="1" applyBorder="1" applyAlignment="1">
      <alignment horizontal="center" vertical="center"/>
    </xf>
    <xf numFmtId="2" fontId="4" fillId="4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top" wrapText="1"/>
    </xf>
    <xf numFmtId="2" fontId="3" fillId="0" borderId="6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 wrapText="1"/>
    </xf>
    <xf numFmtId="0" fontId="4" fillId="0" borderId="0" xfId="0" applyFont="1" applyBorder="1" applyAlignment="1">
      <alignment horizontal="justify" vertical="center" wrapText="1"/>
    </xf>
    <xf numFmtId="2" fontId="2" fillId="0" borderId="0" xfId="0" applyNumberFormat="1" applyFont="1" applyBorder="1" applyAlignment="1">
      <alignment horizontal="center" vertical="center"/>
    </xf>
    <xf numFmtId="0" fontId="4" fillId="3" borderId="0" xfId="0" applyFont="1" applyFill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2" fontId="2" fillId="2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2" fontId="4" fillId="0" borderId="6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2" fontId="4" fillId="2" borderId="2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2" fontId="2" fillId="2" borderId="2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2" fontId="4" fillId="2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2" fontId="4" fillId="0" borderId="5" xfId="0" applyNumberFormat="1" applyFont="1" applyFill="1" applyBorder="1" applyAlignment="1">
      <alignment horizontal="center" vertical="center" wrapText="1"/>
    </xf>
    <xf numFmtId="2" fontId="4" fillId="0" borderId="6" xfId="0" applyNumberFormat="1" applyFont="1" applyFill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2" fontId="2" fillId="2" borderId="5" xfId="0" applyNumberFormat="1" applyFont="1" applyFill="1" applyBorder="1" applyAlignment="1">
      <alignment horizontal="center" vertical="center"/>
    </xf>
    <xf numFmtId="2" fontId="2" fillId="2" borderId="6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/>
    </xf>
    <xf numFmtId="0" fontId="4" fillId="4" borderId="5" xfId="0" applyNumberFormat="1" applyFont="1" applyFill="1" applyBorder="1" applyAlignment="1">
      <alignment horizontal="center" vertical="center"/>
    </xf>
    <xf numFmtId="0" fontId="4" fillId="4" borderId="6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1"/>
  <sheetViews>
    <sheetView zoomScaleNormal="100" zoomScaleSheetLayoutView="96" workbookViewId="0">
      <selection activeCell="A2" sqref="A2:G3"/>
    </sheetView>
  </sheetViews>
  <sheetFormatPr defaultRowHeight="15" x14ac:dyDescent="0.3"/>
  <cols>
    <col min="1" max="7" width="16" style="2" customWidth="1"/>
    <col min="8" max="256" width="9.140625" style="1"/>
    <col min="257" max="257" width="34.85546875" style="1" bestFit="1" customWidth="1"/>
    <col min="258" max="258" width="12" style="1" customWidth="1"/>
    <col min="259" max="259" width="12.5703125" style="1" customWidth="1"/>
    <col min="260" max="260" width="12.28515625" style="1" customWidth="1"/>
    <col min="261" max="261" width="11.28515625" style="1" customWidth="1"/>
    <col min="262" max="262" width="16.140625" style="1" customWidth="1"/>
    <col min="263" max="263" width="20.42578125" style="1" customWidth="1"/>
    <col min="264" max="512" width="9.140625" style="1"/>
    <col min="513" max="513" width="34.85546875" style="1" bestFit="1" customWidth="1"/>
    <col min="514" max="514" width="12" style="1" customWidth="1"/>
    <col min="515" max="515" width="12.5703125" style="1" customWidth="1"/>
    <col min="516" max="516" width="12.28515625" style="1" customWidth="1"/>
    <col min="517" max="517" width="11.28515625" style="1" customWidth="1"/>
    <col min="518" max="518" width="16.140625" style="1" customWidth="1"/>
    <col min="519" max="519" width="20.42578125" style="1" customWidth="1"/>
    <col min="520" max="768" width="9.140625" style="1"/>
    <col min="769" max="769" width="34.85546875" style="1" bestFit="1" customWidth="1"/>
    <col min="770" max="770" width="12" style="1" customWidth="1"/>
    <col min="771" max="771" width="12.5703125" style="1" customWidth="1"/>
    <col min="772" max="772" width="12.28515625" style="1" customWidth="1"/>
    <col min="773" max="773" width="11.28515625" style="1" customWidth="1"/>
    <col min="774" max="774" width="16.140625" style="1" customWidth="1"/>
    <col min="775" max="775" width="20.42578125" style="1" customWidth="1"/>
    <col min="776" max="1024" width="9.140625" style="1"/>
    <col min="1025" max="1025" width="34.85546875" style="1" bestFit="1" customWidth="1"/>
    <col min="1026" max="1026" width="12" style="1" customWidth="1"/>
    <col min="1027" max="1027" width="12.5703125" style="1" customWidth="1"/>
    <col min="1028" max="1028" width="12.28515625" style="1" customWidth="1"/>
    <col min="1029" max="1029" width="11.28515625" style="1" customWidth="1"/>
    <col min="1030" max="1030" width="16.140625" style="1" customWidth="1"/>
    <col min="1031" max="1031" width="20.42578125" style="1" customWidth="1"/>
    <col min="1032" max="1280" width="9.140625" style="1"/>
    <col min="1281" max="1281" width="34.85546875" style="1" bestFit="1" customWidth="1"/>
    <col min="1282" max="1282" width="12" style="1" customWidth="1"/>
    <col min="1283" max="1283" width="12.5703125" style="1" customWidth="1"/>
    <col min="1284" max="1284" width="12.28515625" style="1" customWidth="1"/>
    <col min="1285" max="1285" width="11.28515625" style="1" customWidth="1"/>
    <col min="1286" max="1286" width="16.140625" style="1" customWidth="1"/>
    <col min="1287" max="1287" width="20.42578125" style="1" customWidth="1"/>
    <col min="1288" max="1536" width="9.140625" style="1"/>
    <col min="1537" max="1537" width="34.85546875" style="1" bestFit="1" customWidth="1"/>
    <col min="1538" max="1538" width="12" style="1" customWidth="1"/>
    <col min="1539" max="1539" width="12.5703125" style="1" customWidth="1"/>
    <col min="1540" max="1540" width="12.28515625" style="1" customWidth="1"/>
    <col min="1541" max="1541" width="11.28515625" style="1" customWidth="1"/>
    <col min="1542" max="1542" width="16.140625" style="1" customWidth="1"/>
    <col min="1543" max="1543" width="20.42578125" style="1" customWidth="1"/>
    <col min="1544" max="1792" width="9.140625" style="1"/>
    <col min="1793" max="1793" width="34.85546875" style="1" bestFit="1" customWidth="1"/>
    <col min="1794" max="1794" width="12" style="1" customWidth="1"/>
    <col min="1795" max="1795" width="12.5703125" style="1" customWidth="1"/>
    <col min="1796" max="1796" width="12.28515625" style="1" customWidth="1"/>
    <col min="1797" max="1797" width="11.28515625" style="1" customWidth="1"/>
    <col min="1798" max="1798" width="16.140625" style="1" customWidth="1"/>
    <col min="1799" max="1799" width="20.42578125" style="1" customWidth="1"/>
    <col min="1800" max="2048" width="9.140625" style="1"/>
    <col min="2049" max="2049" width="34.85546875" style="1" bestFit="1" customWidth="1"/>
    <col min="2050" max="2050" width="12" style="1" customWidth="1"/>
    <col min="2051" max="2051" width="12.5703125" style="1" customWidth="1"/>
    <col min="2052" max="2052" width="12.28515625" style="1" customWidth="1"/>
    <col min="2053" max="2053" width="11.28515625" style="1" customWidth="1"/>
    <col min="2054" max="2054" width="16.140625" style="1" customWidth="1"/>
    <col min="2055" max="2055" width="20.42578125" style="1" customWidth="1"/>
    <col min="2056" max="2304" width="9.140625" style="1"/>
    <col min="2305" max="2305" width="34.85546875" style="1" bestFit="1" customWidth="1"/>
    <col min="2306" max="2306" width="12" style="1" customWidth="1"/>
    <col min="2307" max="2307" width="12.5703125" style="1" customWidth="1"/>
    <col min="2308" max="2308" width="12.28515625" style="1" customWidth="1"/>
    <col min="2309" max="2309" width="11.28515625" style="1" customWidth="1"/>
    <col min="2310" max="2310" width="16.140625" style="1" customWidth="1"/>
    <col min="2311" max="2311" width="20.42578125" style="1" customWidth="1"/>
    <col min="2312" max="2560" width="9.140625" style="1"/>
    <col min="2561" max="2561" width="34.85546875" style="1" bestFit="1" customWidth="1"/>
    <col min="2562" max="2562" width="12" style="1" customWidth="1"/>
    <col min="2563" max="2563" width="12.5703125" style="1" customWidth="1"/>
    <col min="2564" max="2564" width="12.28515625" style="1" customWidth="1"/>
    <col min="2565" max="2565" width="11.28515625" style="1" customWidth="1"/>
    <col min="2566" max="2566" width="16.140625" style="1" customWidth="1"/>
    <col min="2567" max="2567" width="20.42578125" style="1" customWidth="1"/>
    <col min="2568" max="2816" width="9.140625" style="1"/>
    <col min="2817" max="2817" width="34.85546875" style="1" bestFit="1" customWidth="1"/>
    <col min="2818" max="2818" width="12" style="1" customWidth="1"/>
    <col min="2819" max="2819" width="12.5703125" style="1" customWidth="1"/>
    <col min="2820" max="2820" width="12.28515625" style="1" customWidth="1"/>
    <col min="2821" max="2821" width="11.28515625" style="1" customWidth="1"/>
    <col min="2822" max="2822" width="16.140625" style="1" customWidth="1"/>
    <col min="2823" max="2823" width="20.42578125" style="1" customWidth="1"/>
    <col min="2824" max="3072" width="9.140625" style="1"/>
    <col min="3073" max="3073" width="34.85546875" style="1" bestFit="1" customWidth="1"/>
    <col min="3074" max="3074" width="12" style="1" customWidth="1"/>
    <col min="3075" max="3075" width="12.5703125" style="1" customWidth="1"/>
    <col min="3076" max="3076" width="12.28515625" style="1" customWidth="1"/>
    <col min="3077" max="3077" width="11.28515625" style="1" customWidth="1"/>
    <col min="3078" max="3078" width="16.140625" style="1" customWidth="1"/>
    <col min="3079" max="3079" width="20.42578125" style="1" customWidth="1"/>
    <col min="3080" max="3328" width="9.140625" style="1"/>
    <col min="3329" max="3329" width="34.85546875" style="1" bestFit="1" customWidth="1"/>
    <col min="3330" max="3330" width="12" style="1" customWidth="1"/>
    <col min="3331" max="3331" width="12.5703125" style="1" customWidth="1"/>
    <col min="3332" max="3332" width="12.28515625" style="1" customWidth="1"/>
    <col min="3333" max="3333" width="11.28515625" style="1" customWidth="1"/>
    <col min="3334" max="3334" width="16.140625" style="1" customWidth="1"/>
    <col min="3335" max="3335" width="20.42578125" style="1" customWidth="1"/>
    <col min="3336" max="3584" width="9.140625" style="1"/>
    <col min="3585" max="3585" width="34.85546875" style="1" bestFit="1" customWidth="1"/>
    <col min="3586" max="3586" width="12" style="1" customWidth="1"/>
    <col min="3587" max="3587" width="12.5703125" style="1" customWidth="1"/>
    <col min="3588" max="3588" width="12.28515625" style="1" customWidth="1"/>
    <col min="3589" max="3589" width="11.28515625" style="1" customWidth="1"/>
    <col min="3590" max="3590" width="16.140625" style="1" customWidth="1"/>
    <col min="3591" max="3591" width="20.42578125" style="1" customWidth="1"/>
    <col min="3592" max="3840" width="9.140625" style="1"/>
    <col min="3841" max="3841" width="34.85546875" style="1" bestFit="1" customWidth="1"/>
    <col min="3842" max="3842" width="12" style="1" customWidth="1"/>
    <col min="3843" max="3843" width="12.5703125" style="1" customWidth="1"/>
    <col min="3844" max="3844" width="12.28515625" style="1" customWidth="1"/>
    <col min="3845" max="3845" width="11.28515625" style="1" customWidth="1"/>
    <col min="3846" max="3846" width="16.140625" style="1" customWidth="1"/>
    <col min="3847" max="3847" width="20.42578125" style="1" customWidth="1"/>
    <col min="3848" max="4096" width="9.140625" style="1"/>
    <col min="4097" max="4097" width="34.85546875" style="1" bestFit="1" customWidth="1"/>
    <col min="4098" max="4098" width="12" style="1" customWidth="1"/>
    <col min="4099" max="4099" width="12.5703125" style="1" customWidth="1"/>
    <col min="4100" max="4100" width="12.28515625" style="1" customWidth="1"/>
    <col min="4101" max="4101" width="11.28515625" style="1" customWidth="1"/>
    <col min="4102" max="4102" width="16.140625" style="1" customWidth="1"/>
    <col min="4103" max="4103" width="20.42578125" style="1" customWidth="1"/>
    <col min="4104" max="4352" width="9.140625" style="1"/>
    <col min="4353" max="4353" width="34.85546875" style="1" bestFit="1" customWidth="1"/>
    <col min="4354" max="4354" width="12" style="1" customWidth="1"/>
    <col min="4355" max="4355" width="12.5703125" style="1" customWidth="1"/>
    <col min="4356" max="4356" width="12.28515625" style="1" customWidth="1"/>
    <col min="4357" max="4357" width="11.28515625" style="1" customWidth="1"/>
    <col min="4358" max="4358" width="16.140625" style="1" customWidth="1"/>
    <col min="4359" max="4359" width="20.42578125" style="1" customWidth="1"/>
    <col min="4360" max="4608" width="9.140625" style="1"/>
    <col min="4609" max="4609" width="34.85546875" style="1" bestFit="1" customWidth="1"/>
    <col min="4610" max="4610" width="12" style="1" customWidth="1"/>
    <col min="4611" max="4611" width="12.5703125" style="1" customWidth="1"/>
    <col min="4612" max="4612" width="12.28515625" style="1" customWidth="1"/>
    <col min="4613" max="4613" width="11.28515625" style="1" customWidth="1"/>
    <col min="4614" max="4614" width="16.140625" style="1" customWidth="1"/>
    <col min="4615" max="4615" width="20.42578125" style="1" customWidth="1"/>
    <col min="4616" max="4864" width="9.140625" style="1"/>
    <col min="4865" max="4865" width="34.85546875" style="1" bestFit="1" customWidth="1"/>
    <col min="4866" max="4866" width="12" style="1" customWidth="1"/>
    <col min="4867" max="4867" width="12.5703125" style="1" customWidth="1"/>
    <col min="4868" max="4868" width="12.28515625" style="1" customWidth="1"/>
    <col min="4869" max="4869" width="11.28515625" style="1" customWidth="1"/>
    <col min="4870" max="4870" width="16.140625" style="1" customWidth="1"/>
    <col min="4871" max="4871" width="20.42578125" style="1" customWidth="1"/>
    <col min="4872" max="5120" width="9.140625" style="1"/>
    <col min="5121" max="5121" width="34.85546875" style="1" bestFit="1" customWidth="1"/>
    <col min="5122" max="5122" width="12" style="1" customWidth="1"/>
    <col min="5123" max="5123" width="12.5703125" style="1" customWidth="1"/>
    <col min="5124" max="5124" width="12.28515625" style="1" customWidth="1"/>
    <col min="5125" max="5125" width="11.28515625" style="1" customWidth="1"/>
    <col min="5126" max="5126" width="16.140625" style="1" customWidth="1"/>
    <col min="5127" max="5127" width="20.42578125" style="1" customWidth="1"/>
    <col min="5128" max="5376" width="9.140625" style="1"/>
    <col min="5377" max="5377" width="34.85546875" style="1" bestFit="1" customWidth="1"/>
    <col min="5378" max="5378" width="12" style="1" customWidth="1"/>
    <col min="5379" max="5379" width="12.5703125" style="1" customWidth="1"/>
    <col min="5380" max="5380" width="12.28515625" style="1" customWidth="1"/>
    <col min="5381" max="5381" width="11.28515625" style="1" customWidth="1"/>
    <col min="5382" max="5382" width="16.140625" style="1" customWidth="1"/>
    <col min="5383" max="5383" width="20.42578125" style="1" customWidth="1"/>
    <col min="5384" max="5632" width="9.140625" style="1"/>
    <col min="5633" max="5633" width="34.85546875" style="1" bestFit="1" customWidth="1"/>
    <col min="5634" max="5634" width="12" style="1" customWidth="1"/>
    <col min="5635" max="5635" width="12.5703125" style="1" customWidth="1"/>
    <col min="5636" max="5636" width="12.28515625" style="1" customWidth="1"/>
    <col min="5637" max="5637" width="11.28515625" style="1" customWidth="1"/>
    <col min="5638" max="5638" width="16.140625" style="1" customWidth="1"/>
    <col min="5639" max="5639" width="20.42578125" style="1" customWidth="1"/>
    <col min="5640" max="5888" width="9.140625" style="1"/>
    <col min="5889" max="5889" width="34.85546875" style="1" bestFit="1" customWidth="1"/>
    <col min="5890" max="5890" width="12" style="1" customWidth="1"/>
    <col min="5891" max="5891" width="12.5703125" style="1" customWidth="1"/>
    <col min="5892" max="5892" width="12.28515625" style="1" customWidth="1"/>
    <col min="5893" max="5893" width="11.28515625" style="1" customWidth="1"/>
    <col min="5894" max="5894" width="16.140625" style="1" customWidth="1"/>
    <col min="5895" max="5895" width="20.42578125" style="1" customWidth="1"/>
    <col min="5896" max="6144" width="9.140625" style="1"/>
    <col min="6145" max="6145" width="34.85546875" style="1" bestFit="1" customWidth="1"/>
    <col min="6146" max="6146" width="12" style="1" customWidth="1"/>
    <col min="6147" max="6147" width="12.5703125" style="1" customWidth="1"/>
    <col min="6148" max="6148" width="12.28515625" style="1" customWidth="1"/>
    <col min="6149" max="6149" width="11.28515625" style="1" customWidth="1"/>
    <col min="6150" max="6150" width="16.140625" style="1" customWidth="1"/>
    <col min="6151" max="6151" width="20.42578125" style="1" customWidth="1"/>
    <col min="6152" max="6400" width="9.140625" style="1"/>
    <col min="6401" max="6401" width="34.85546875" style="1" bestFit="1" customWidth="1"/>
    <col min="6402" max="6402" width="12" style="1" customWidth="1"/>
    <col min="6403" max="6403" width="12.5703125" style="1" customWidth="1"/>
    <col min="6404" max="6404" width="12.28515625" style="1" customWidth="1"/>
    <col min="6405" max="6405" width="11.28515625" style="1" customWidth="1"/>
    <col min="6406" max="6406" width="16.140625" style="1" customWidth="1"/>
    <col min="6407" max="6407" width="20.42578125" style="1" customWidth="1"/>
    <col min="6408" max="6656" width="9.140625" style="1"/>
    <col min="6657" max="6657" width="34.85546875" style="1" bestFit="1" customWidth="1"/>
    <col min="6658" max="6658" width="12" style="1" customWidth="1"/>
    <col min="6659" max="6659" width="12.5703125" style="1" customWidth="1"/>
    <col min="6660" max="6660" width="12.28515625" style="1" customWidth="1"/>
    <col min="6661" max="6661" width="11.28515625" style="1" customWidth="1"/>
    <col min="6662" max="6662" width="16.140625" style="1" customWidth="1"/>
    <col min="6663" max="6663" width="20.42578125" style="1" customWidth="1"/>
    <col min="6664" max="6912" width="9.140625" style="1"/>
    <col min="6913" max="6913" width="34.85546875" style="1" bestFit="1" customWidth="1"/>
    <col min="6914" max="6914" width="12" style="1" customWidth="1"/>
    <col min="6915" max="6915" width="12.5703125" style="1" customWidth="1"/>
    <col min="6916" max="6916" width="12.28515625" style="1" customWidth="1"/>
    <col min="6917" max="6917" width="11.28515625" style="1" customWidth="1"/>
    <col min="6918" max="6918" width="16.140625" style="1" customWidth="1"/>
    <col min="6919" max="6919" width="20.42578125" style="1" customWidth="1"/>
    <col min="6920" max="7168" width="9.140625" style="1"/>
    <col min="7169" max="7169" width="34.85546875" style="1" bestFit="1" customWidth="1"/>
    <col min="7170" max="7170" width="12" style="1" customWidth="1"/>
    <col min="7171" max="7171" width="12.5703125" style="1" customWidth="1"/>
    <col min="7172" max="7172" width="12.28515625" style="1" customWidth="1"/>
    <col min="7173" max="7173" width="11.28515625" style="1" customWidth="1"/>
    <col min="7174" max="7174" width="16.140625" style="1" customWidth="1"/>
    <col min="7175" max="7175" width="20.42578125" style="1" customWidth="1"/>
    <col min="7176" max="7424" width="9.140625" style="1"/>
    <col min="7425" max="7425" width="34.85546875" style="1" bestFit="1" customWidth="1"/>
    <col min="7426" max="7426" width="12" style="1" customWidth="1"/>
    <col min="7427" max="7427" width="12.5703125" style="1" customWidth="1"/>
    <col min="7428" max="7428" width="12.28515625" style="1" customWidth="1"/>
    <col min="7429" max="7429" width="11.28515625" style="1" customWidth="1"/>
    <col min="7430" max="7430" width="16.140625" style="1" customWidth="1"/>
    <col min="7431" max="7431" width="20.42578125" style="1" customWidth="1"/>
    <col min="7432" max="7680" width="9.140625" style="1"/>
    <col min="7681" max="7681" width="34.85546875" style="1" bestFit="1" customWidth="1"/>
    <col min="7682" max="7682" width="12" style="1" customWidth="1"/>
    <col min="7683" max="7683" width="12.5703125" style="1" customWidth="1"/>
    <col min="7684" max="7684" width="12.28515625" style="1" customWidth="1"/>
    <col min="7685" max="7685" width="11.28515625" style="1" customWidth="1"/>
    <col min="7686" max="7686" width="16.140625" style="1" customWidth="1"/>
    <col min="7687" max="7687" width="20.42578125" style="1" customWidth="1"/>
    <col min="7688" max="7936" width="9.140625" style="1"/>
    <col min="7937" max="7937" width="34.85546875" style="1" bestFit="1" customWidth="1"/>
    <col min="7938" max="7938" width="12" style="1" customWidth="1"/>
    <col min="7939" max="7939" width="12.5703125" style="1" customWidth="1"/>
    <col min="7940" max="7940" width="12.28515625" style="1" customWidth="1"/>
    <col min="7941" max="7941" width="11.28515625" style="1" customWidth="1"/>
    <col min="7942" max="7942" width="16.140625" style="1" customWidth="1"/>
    <col min="7943" max="7943" width="20.42578125" style="1" customWidth="1"/>
    <col min="7944" max="8192" width="9.140625" style="1"/>
    <col min="8193" max="8193" width="34.85546875" style="1" bestFit="1" customWidth="1"/>
    <col min="8194" max="8194" width="12" style="1" customWidth="1"/>
    <col min="8195" max="8195" width="12.5703125" style="1" customWidth="1"/>
    <col min="8196" max="8196" width="12.28515625" style="1" customWidth="1"/>
    <col min="8197" max="8197" width="11.28515625" style="1" customWidth="1"/>
    <col min="8198" max="8198" width="16.140625" style="1" customWidth="1"/>
    <col min="8199" max="8199" width="20.42578125" style="1" customWidth="1"/>
    <col min="8200" max="8448" width="9.140625" style="1"/>
    <col min="8449" max="8449" width="34.85546875" style="1" bestFit="1" customWidth="1"/>
    <col min="8450" max="8450" width="12" style="1" customWidth="1"/>
    <col min="8451" max="8451" width="12.5703125" style="1" customWidth="1"/>
    <col min="8452" max="8452" width="12.28515625" style="1" customWidth="1"/>
    <col min="8453" max="8453" width="11.28515625" style="1" customWidth="1"/>
    <col min="8454" max="8454" width="16.140625" style="1" customWidth="1"/>
    <col min="8455" max="8455" width="20.42578125" style="1" customWidth="1"/>
    <col min="8456" max="8704" width="9.140625" style="1"/>
    <col min="8705" max="8705" width="34.85546875" style="1" bestFit="1" customWidth="1"/>
    <col min="8706" max="8706" width="12" style="1" customWidth="1"/>
    <col min="8707" max="8707" width="12.5703125" style="1" customWidth="1"/>
    <col min="8708" max="8708" width="12.28515625" style="1" customWidth="1"/>
    <col min="8709" max="8709" width="11.28515625" style="1" customWidth="1"/>
    <col min="8710" max="8710" width="16.140625" style="1" customWidth="1"/>
    <col min="8711" max="8711" width="20.42578125" style="1" customWidth="1"/>
    <col min="8712" max="8960" width="9.140625" style="1"/>
    <col min="8961" max="8961" width="34.85546875" style="1" bestFit="1" customWidth="1"/>
    <col min="8962" max="8962" width="12" style="1" customWidth="1"/>
    <col min="8963" max="8963" width="12.5703125" style="1" customWidth="1"/>
    <col min="8964" max="8964" width="12.28515625" style="1" customWidth="1"/>
    <col min="8965" max="8965" width="11.28515625" style="1" customWidth="1"/>
    <col min="8966" max="8966" width="16.140625" style="1" customWidth="1"/>
    <col min="8967" max="8967" width="20.42578125" style="1" customWidth="1"/>
    <col min="8968" max="9216" width="9.140625" style="1"/>
    <col min="9217" max="9217" width="34.85546875" style="1" bestFit="1" customWidth="1"/>
    <col min="9218" max="9218" width="12" style="1" customWidth="1"/>
    <col min="9219" max="9219" width="12.5703125" style="1" customWidth="1"/>
    <col min="9220" max="9220" width="12.28515625" style="1" customWidth="1"/>
    <col min="9221" max="9221" width="11.28515625" style="1" customWidth="1"/>
    <col min="9222" max="9222" width="16.140625" style="1" customWidth="1"/>
    <col min="9223" max="9223" width="20.42578125" style="1" customWidth="1"/>
    <col min="9224" max="9472" width="9.140625" style="1"/>
    <col min="9473" max="9473" width="34.85546875" style="1" bestFit="1" customWidth="1"/>
    <col min="9474" max="9474" width="12" style="1" customWidth="1"/>
    <col min="9475" max="9475" width="12.5703125" style="1" customWidth="1"/>
    <col min="9476" max="9476" width="12.28515625" style="1" customWidth="1"/>
    <col min="9477" max="9477" width="11.28515625" style="1" customWidth="1"/>
    <col min="9478" max="9478" width="16.140625" style="1" customWidth="1"/>
    <col min="9479" max="9479" width="20.42578125" style="1" customWidth="1"/>
    <col min="9480" max="9728" width="9.140625" style="1"/>
    <col min="9729" max="9729" width="34.85546875" style="1" bestFit="1" customWidth="1"/>
    <col min="9730" max="9730" width="12" style="1" customWidth="1"/>
    <col min="9731" max="9731" width="12.5703125" style="1" customWidth="1"/>
    <col min="9732" max="9732" width="12.28515625" style="1" customWidth="1"/>
    <col min="9733" max="9733" width="11.28515625" style="1" customWidth="1"/>
    <col min="9734" max="9734" width="16.140625" style="1" customWidth="1"/>
    <col min="9735" max="9735" width="20.42578125" style="1" customWidth="1"/>
    <col min="9736" max="9984" width="9.140625" style="1"/>
    <col min="9985" max="9985" width="34.85546875" style="1" bestFit="1" customWidth="1"/>
    <col min="9986" max="9986" width="12" style="1" customWidth="1"/>
    <col min="9987" max="9987" width="12.5703125" style="1" customWidth="1"/>
    <col min="9988" max="9988" width="12.28515625" style="1" customWidth="1"/>
    <col min="9989" max="9989" width="11.28515625" style="1" customWidth="1"/>
    <col min="9990" max="9990" width="16.140625" style="1" customWidth="1"/>
    <col min="9991" max="9991" width="20.42578125" style="1" customWidth="1"/>
    <col min="9992" max="10240" width="9.140625" style="1"/>
    <col min="10241" max="10241" width="34.85546875" style="1" bestFit="1" customWidth="1"/>
    <col min="10242" max="10242" width="12" style="1" customWidth="1"/>
    <col min="10243" max="10243" width="12.5703125" style="1" customWidth="1"/>
    <col min="10244" max="10244" width="12.28515625" style="1" customWidth="1"/>
    <col min="10245" max="10245" width="11.28515625" style="1" customWidth="1"/>
    <col min="10246" max="10246" width="16.140625" style="1" customWidth="1"/>
    <col min="10247" max="10247" width="20.42578125" style="1" customWidth="1"/>
    <col min="10248" max="10496" width="9.140625" style="1"/>
    <col min="10497" max="10497" width="34.85546875" style="1" bestFit="1" customWidth="1"/>
    <col min="10498" max="10498" width="12" style="1" customWidth="1"/>
    <col min="10499" max="10499" width="12.5703125" style="1" customWidth="1"/>
    <col min="10500" max="10500" width="12.28515625" style="1" customWidth="1"/>
    <col min="10501" max="10501" width="11.28515625" style="1" customWidth="1"/>
    <col min="10502" max="10502" width="16.140625" style="1" customWidth="1"/>
    <col min="10503" max="10503" width="20.42578125" style="1" customWidth="1"/>
    <col min="10504" max="10752" width="9.140625" style="1"/>
    <col min="10753" max="10753" width="34.85546875" style="1" bestFit="1" customWidth="1"/>
    <col min="10754" max="10754" width="12" style="1" customWidth="1"/>
    <col min="10755" max="10755" width="12.5703125" style="1" customWidth="1"/>
    <col min="10756" max="10756" width="12.28515625" style="1" customWidth="1"/>
    <col min="10757" max="10757" width="11.28515625" style="1" customWidth="1"/>
    <col min="10758" max="10758" width="16.140625" style="1" customWidth="1"/>
    <col min="10759" max="10759" width="20.42578125" style="1" customWidth="1"/>
    <col min="10760" max="11008" width="9.140625" style="1"/>
    <col min="11009" max="11009" width="34.85546875" style="1" bestFit="1" customWidth="1"/>
    <col min="11010" max="11010" width="12" style="1" customWidth="1"/>
    <col min="11011" max="11011" width="12.5703125" style="1" customWidth="1"/>
    <col min="11012" max="11012" width="12.28515625" style="1" customWidth="1"/>
    <col min="11013" max="11013" width="11.28515625" style="1" customWidth="1"/>
    <col min="11014" max="11014" width="16.140625" style="1" customWidth="1"/>
    <col min="11015" max="11015" width="20.42578125" style="1" customWidth="1"/>
    <col min="11016" max="11264" width="9.140625" style="1"/>
    <col min="11265" max="11265" width="34.85546875" style="1" bestFit="1" customWidth="1"/>
    <col min="11266" max="11266" width="12" style="1" customWidth="1"/>
    <col min="11267" max="11267" width="12.5703125" style="1" customWidth="1"/>
    <col min="11268" max="11268" width="12.28515625" style="1" customWidth="1"/>
    <col min="11269" max="11269" width="11.28515625" style="1" customWidth="1"/>
    <col min="11270" max="11270" width="16.140625" style="1" customWidth="1"/>
    <col min="11271" max="11271" width="20.42578125" style="1" customWidth="1"/>
    <col min="11272" max="11520" width="9.140625" style="1"/>
    <col min="11521" max="11521" width="34.85546875" style="1" bestFit="1" customWidth="1"/>
    <col min="11522" max="11522" width="12" style="1" customWidth="1"/>
    <col min="11523" max="11523" width="12.5703125" style="1" customWidth="1"/>
    <col min="11524" max="11524" width="12.28515625" style="1" customWidth="1"/>
    <col min="11525" max="11525" width="11.28515625" style="1" customWidth="1"/>
    <col min="11526" max="11526" width="16.140625" style="1" customWidth="1"/>
    <col min="11527" max="11527" width="20.42578125" style="1" customWidth="1"/>
    <col min="11528" max="11776" width="9.140625" style="1"/>
    <col min="11777" max="11777" width="34.85546875" style="1" bestFit="1" customWidth="1"/>
    <col min="11778" max="11778" width="12" style="1" customWidth="1"/>
    <col min="11779" max="11779" width="12.5703125" style="1" customWidth="1"/>
    <col min="11780" max="11780" width="12.28515625" style="1" customWidth="1"/>
    <col min="11781" max="11781" width="11.28515625" style="1" customWidth="1"/>
    <col min="11782" max="11782" width="16.140625" style="1" customWidth="1"/>
    <col min="11783" max="11783" width="20.42578125" style="1" customWidth="1"/>
    <col min="11784" max="12032" width="9.140625" style="1"/>
    <col min="12033" max="12033" width="34.85546875" style="1" bestFit="1" customWidth="1"/>
    <col min="12034" max="12034" width="12" style="1" customWidth="1"/>
    <col min="12035" max="12035" width="12.5703125" style="1" customWidth="1"/>
    <col min="12036" max="12036" width="12.28515625" style="1" customWidth="1"/>
    <col min="12037" max="12037" width="11.28515625" style="1" customWidth="1"/>
    <col min="12038" max="12038" width="16.140625" style="1" customWidth="1"/>
    <col min="12039" max="12039" width="20.42578125" style="1" customWidth="1"/>
    <col min="12040" max="12288" width="9.140625" style="1"/>
    <col min="12289" max="12289" width="34.85546875" style="1" bestFit="1" customWidth="1"/>
    <col min="12290" max="12290" width="12" style="1" customWidth="1"/>
    <col min="12291" max="12291" width="12.5703125" style="1" customWidth="1"/>
    <col min="12292" max="12292" width="12.28515625" style="1" customWidth="1"/>
    <col min="12293" max="12293" width="11.28515625" style="1" customWidth="1"/>
    <col min="12294" max="12294" width="16.140625" style="1" customWidth="1"/>
    <col min="12295" max="12295" width="20.42578125" style="1" customWidth="1"/>
    <col min="12296" max="12544" width="9.140625" style="1"/>
    <col min="12545" max="12545" width="34.85546875" style="1" bestFit="1" customWidth="1"/>
    <col min="12546" max="12546" width="12" style="1" customWidth="1"/>
    <col min="12547" max="12547" width="12.5703125" style="1" customWidth="1"/>
    <col min="12548" max="12548" width="12.28515625" style="1" customWidth="1"/>
    <col min="12549" max="12549" width="11.28515625" style="1" customWidth="1"/>
    <col min="12550" max="12550" width="16.140625" style="1" customWidth="1"/>
    <col min="12551" max="12551" width="20.42578125" style="1" customWidth="1"/>
    <col min="12552" max="12800" width="9.140625" style="1"/>
    <col min="12801" max="12801" width="34.85546875" style="1" bestFit="1" customWidth="1"/>
    <col min="12802" max="12802" width="12" style="1" customWidth="1"/>
    <col min="12803" max="12803" width="12.5703125" style="1" customWidth="1"/>
    <col min="12804" max="12804" width="12.28515625" style="1" customWidth="1"/>
    <col min="12805" max="12805" width="11.28515625" style="1" customWidth="1"/>
    <col min="12806" max="12806" width="16.140625" style="1" customWidth="1"/>
    <col min="12807" max="12807" width="20.42578125" style="1" customWidth="1"/>
    <col min="12808" max="13056" width="9.140625" style="1"/>
    <col min="13057" max="13057" width="34.85546875" style="1" bestFit="1" customWidth="1"/>
    <col min="13058" max="13058" width="12" style="1" customWidth="1"/>
    <col min="13059" max="13059" width="12.5703125" style="1" customWidth="1"/>
    <col min="13060" max="13060" width="12.28515625" style="1" customWidth="1"/>
    <col min="13061" max="13061" width="11.28515625" style="1" customWidth="1"/>
    <col min="13062" max="13062" width="16.140625" style="1" customWidth="1"/>
    <col min="13063" max="13063" width="20.42578125" style="1" customWidth="1"/>
    <col min="13064" max="13312" width="9.140625" style="1"/>
    <col min="13313" max="13313" width="34.85546875" style="1" bestFit="1" customWidth="1"/>
    <col min="13314" max="13314" width="12" style="1" customWidth="1"/>
    <col min="13315" max="13315" width="12.5703125" style="1" customWidth="1"/>
    <col min="13316" max="13316" width="12.28515625" style="1" customWidth="1"/>
    <col min="13317" max="13317" width="11.28515625" style="1" customWidth="1"/>
    <col min="13318" max="13318" width="16.140625" style="1" customWidth="1"/>
    <col min="13319" max="13319" width="20.42578125" style="1" customWidth="1"/>
    <col min="13320" max="13568" width="9.140625" style="1"/>
    <col min="13569" max="13569" width="34.85546875" style="1" bestFit="1" customWidth="1"/>
    <col min="13570" max="13570" width="12" style="1" customWidth="1"/>
    <col min="13571" max="13571" width="12.5703125" style="1" customWidth="1"/>
    <col min="13572" max="13572" width="12.28515625" style="1" customWidth="1"/>
    <col min="13573" max="13573" width="11.28515625" style="1" customWidth="1"/>
    <col min="13574" max="13574" width="16.140625" style="1" customWidth="1"/>
    <col min="13575" max="13575" width="20.42578125" style="1" customWidth="1"/>
    <col min="13576" max="13824" width="9.140625" style="1"/>
    <col min="13825" max="13825" width="34.85546875" style="1" bestFit="1" customWidth="1"/>
    <col min="13826" max="13826" width="12" style="1" customWidth="1"/>
    <col min="13827" max="13827" width="12.5703125" style="1" customWidth="1"/>
    <col min="13828" max="13828" width="12.28515625" style="1" customWidth="1"/>
    <col min="13829" max="13829" width="11.28515625" style="1" customWidth="1"/>
    <col min="13830" max="13830" width="16.140625" style="1" customWidth="1"/>
    <col min="13831" max="13831" width="20.42578125" style="1" customWidth="1"/>
    <col min="13832" max="14080" width="9.140625" style="1"/>
    <col min="14081" max="14081" width="34.85546875" style="1" bestFit="1" customWidth="1"/>
    <col min="14082" max="14082" width="12" style="1" customWidth="1"/>
    <col min="14083" max="14083" width="12.5703125" style="1" customWidth="1"/>
    <col min="14084" max="14084" width="12.28515625" style="1" customWidth="1"/>
    <col min="14085" max="14085" width="11.28515625" style="1" customWidth="1"/>
    <col min="14086" max="14086" width="16.140625" style="1" customWidth="1"/>
    <col min="14087" max="14087" width="20.42578125" style="1" customWidth="1"/>
    <col min="14088" max="14336" width="9.140625" style="1"/>
    <col min="14337" max="14337" width="34.85546875" style="1" bestFit="1" customWidth="1"/>
    <col min="14338" max="14338" width="12" style="1" customWidth="1"/>
    <col min="14339" max="14339" width="12.5703125" style="1" customWidth="1"/>
    <col min="14340" max="14340" width="12.28515625" style="1" customWidth="1"/>
    <col min="14341" max="14341" width="11.28515625" style="1" customWidth="1"/>
    <col min="14342" max="14342" width="16.140625" style="1" customWidth="1"/>
    <col min="14343" max="14343" width="20.42578125" style="1" customWidth="1"/>
    <col min="14344" max="14592" width="9.140625" style="1"/>
    <col min="14593" max="14593" width="34.85546875" style="1" bestFit="1" customWidth="1"/>
    <col min="14594" max="14594" width="12" style="1" customWidth="1"/>
    <col min="14595" max="14595" width="12.5703125" style="1" customWidth="1"/>
    <col min="14596" max="14596" width="12.28515625" style="1" customWidth="1"/>
    <col min="14597" max="14597" width="11.28515625" style="1" customWidth="1"/>
    <col min="14598" max="14598" width="16.140625" style="1" customWidth="1"/>
    <col min="14599" max="14599" width="20.42578125" style="1" customWidth="1"/>
    <col min="14600" max="14848" width="9.140625" style="1"/>
    <col min="14849" max="14849" width="34.85546875" style="1" bestFit="1" customWidth="1"/>
    <col min="14850" max="14850" width="12" style="1" customWidth="1"/>
    <col min="14851" max="14851" width="12.5703125" style="1" customWidth="1"/>
    <col min="14852" max="14852" width="12.28515625" style="1" customWidth="1"/>
    <col min="14853" max="14853" width="11.28515625" style="1" customWidth="1"/>
    <col min="14854" max="14854" width="16.140625" style="1" customWidth="1"/>
    <col min="14855" max="14855" width="20.42578125" style="1" customWidth="1"/>
    <col min="14856" max="15104" width="9.140625" style="1"/>
    <col min="15105" max="15105" width="34.85546875" style="1" bestFit="1" customWidth="1"/>
    <col min="15106" max="15106" width="12" style="1" customWidth="1"/>
    <col min="15107" max="15107" width="12.5703125" style="1" customWidth="1"/>
    <col min="15108" max="15108" width="12.28515625" style="1" customWidth="1"/>
    <col min="15109" max="15109" width="11.28515625" style="1" customWidth="1"/>
    <col min="15110" max="15110" width="16.140625" style="1" customWidth="1"/>
    <col min="15111" max="15111" width="20.42578125" style="1" customWidth="1"/>
    <col min="15112" max="15360" width="9.140625" style="1"/>
    <col min="15361" max="15361" width="34.85546875" style="1" bestFit="1" customWidth="1"/>
    <col min="15362" max="15362" width="12" style="1" customWidth="1"/>
    <col min="15363" max="15363" width="12.5703125" style="1" customWidth="1"/>
    <col min="15364" max="15364" width="12.28515625" style="1" customWidth="1"/>
    <col min="15365" max="15365" width="11.28515625" style="1" customWidth="1"/>
    <col min="15366" max="15366" width="16.140625" style="1" customWidth="1"/>
    <col min="15367" max="15367" width="20.42578125" style="1" customWidth="1"/>
    <col min="15368" max="15616" width="9.140625" style="1"/>
    <col min="15617" max="15617" width="34.85546875" style="1" bestFit="1" customWidth="1"/>
    <col min="15618" max="15618" width="12" style="1" customWidth="1"/>
    <col min="15619" max="15619" width="12.5703125" style="1" customWidth="1"/>
    <col min="15620" max="15620" width="12.28515625" style="1" customWidth="1"/>
    <col min="15621" max="15621" width="11.28515625" style="1" customWidth="1"/>
    <col min="15622" max="15622" width="16.140625" style="1" customWidth="1"/>
    <col min="15623" max="15623" width="20.42578125" style="1" customWidth="1"/>
    <col min="15624" max="15872" width="9.140625" style="1"/>
    <col min="15873" max="15873" width="34.85546875" style="1" bestFit="1" customWidth="1"/>
    <col min="15874" max="15874" width="12" style="1" customWidth="1"/>
    <col min="15875" max="15875" width="12.5703125" style="1" customWidth="1"/>
    <col min="15876" max="15876" width="12.28515625" style="1" customWidth="1"/>
    <col min="15877" max="15877" width="11.28515625" style="1" customWidth="1"/>
    <col min="15878" max="15878" width="16.140625" style="1" customWidth="1"/>
    <col min="15879" max="15879" width="20.42578125" style="1" customWidth="1"/>
    <col min="15880" max="16128" width="9.140625" style="1"/>
    <col min="16129" max="16129" width="34.85546875" style="1" bestFit="1" customWidth="1"/>
    <col min="16130" max="16130" width="12" style="1" customWidth="1"/>
    <col min="16131" max="16131" width="12.5703125" style="1" customWidth="1"/>
    <col min="16132" max="16132" width="12.28515625" style="1" customWidth="1"/>
    <col min="16133" max="16133" width="11.28515625" style="1" customWidth="1"/>
    <col min="16134" max="16134" width="16.140625" style="1" customWidth="1"/>
    <col min="16135" max="16135" width="20.42578125" style="1" customWidth="1"/>
    <col min="16136" max="16384" width="9.140625" style="1"/>
  </cols>
  <sheetData>
    <row r="1" spans="1:7" ht="21" customHeight="1" x14ac:dyDescent="0.3">
      <c r="A1" s="145" t="s">
        <v>113</v>
      </c>
      <c r="B1" s="145"/>
      <c r="C1" s="145"/>
      <c r="D1" s="145"/>
      <c r="E1" s="145"/>
      <c r="F1" s="145"/>
      <c r="G1" s="145"/>
    </row>
    <row r="2" spans="1:7" ht="14.25" customHeight="1" x14ac:dyDescent="0.3">
      <c r="A2" s="146" t="s">
        <v>137</v>
      </c>
      <c r="B2" s="146"/>
      <c r="C2" s="146"/>
      <c r="D2" s="146"/>
      <c r="E2" s="146"/>
      <c r="F2" s="146"/>
      <c r="G2" s="146"/>
    </row>
    <row r="3" spans="1:7" ht="113.25" customHeight="1" x14ac:dyDescent="0.3">
      <c r="A3" s="146"/>
      <c r="B3" s="146"/>
      <c r="C3" s="146"/>
      <c r="D3" s="146"/>
      <c r="E3" s="146"/>
      <c r="F3" s="146"/>
      <c r="G3" s="146"/>
    </row>
    <row r="4" spans="1:7" x14ac:dyDescent="0.3">
      <c r="A4" s="147" t="s">
        <v>108</v>
      </c>
      <c r="B4" s="147"/>
      <c r="C4" s="147"/>
      <c r="D4" s="147"/>
      <c r="E4" s="147"/>
      <c r="F4" s="147"/>
      <c r="G4" s="147"/>
    </row>
    <row r="5" spans="1:7" x14ac:dyDescent="0.3">
      <c r="A5" s="9" t="s">
        <v>109</v>
      </c>
    </row>
    <row r="6" spans="1:7" s="5" customFormat="1" x14ac:dyDescent="0.3">
      <c r="A6" s="148" t="s">
        <v>132</v>
      </c>
      <c r="B6" s="148"/>
      <c r="C6" s="148"/>
      <c r="D6" s="148"/>
      <c r="E6" s="148"/>
      <c r="F6" s="148"/>
      <c r="G6" s="148"/>
    </row>
    <row r="7" spans="1:7" s="5" customFormat="1" ht="30" x14ac:dyDescent="0.3">
      <c r="A7" s="149" t="s">
        <v>0</v>
      </c>
      <c r="B7" s="149" t="s">
        <v>1</v>
      </c>
      <c r="C7" s="149"/>
      <c r="D7" s="150" t="s">
        <v>2</v>
      </c>
      <c r="E7" s="150" t="s">
        <v>3</v>
      </c>
      <c r="F7" s="149" t="s">
        <v>30</v>
      </c>
      <c r="G7" s="10" t="s">
        <v>5</v>
      </c>
    </row>
    <row r="8" spans="1:7" s="5" customFormat="1" x14ac:dyDescent="0.3">
      <c r="A8" s="149"/>
      <c r="B8" s="10" t="s">
        <v>6</v>
      </c>
      <c r="C8" s="10" t="s">
        <v>7</v>
      </c>
      <c r="D8" s="151"/>
      <c r="E8" s="151"/>
      <c r="F8" s="149"/>
      <c r="G8" s="10" t="s">
        <v>8</v>
      </c>
    </row>
    <row r="9" spans="1:7" s="5" customFormat="1" ht="30" x14ac:dyDescent="0.3">
      <c r="A9" s="11" t="s">
        <v>133</v>
      </c>
      <c r="B9" s="6">
        <v>90</v>
      </c>
      <c r="C9" s="6">
        <f>95%*B9</f>
        <v>85.5</v>
      </c>
      <c r="D9" s="6">
        <f>17.8%*C9</f>
        <v>15.219000000000001</v>
      </c>
      <c r="E9" s="6">
        <f>10%*C9</f>
        <v>8.5500000000000007</v>
      </c>
      <c r="F9" s="6"/>
      <c r="G9" s="6">
        <f>4*(D9+F9)+9*E9</f>
        <v>137.82600000000002</v>
      </c>
    </row>
    <row r="10" spans="1:7" s="5" customFormat="1" ht="30" x14ac:dyDescent="0.3">
      <c r="A10" s="11" t="s">
        <v>54</v>
      </c>
      <c r="B10" s="6">
        <v>2</v>
      </c>
      <c r="C10" s="6">
        <f>B10*48</f>
        <v>96</v>
      </c>
      <c r="D10" s="6">
        <f>12.7%*C10</f>
        <v>12.192</v>
      </c>
      <c r="E10" s="6">
        <f>11.5%*C10</f>
        <v>11.040000000000001</v>
      </c>
      <c r="F10" s="6"/>
      <c r="G10" s="6">
        <f>4*(D10+F10)+9*E10</f>
        <v>148.12800000000001</v>
      </c>
    </row>
    <row r="11" spans="1:7" s="5" customFormat="1" x14ac:dyDescent="0.3">
      <c r="A11" s="11" t="s">
        <v>49</v>
      </c>
      <c r="B11" s="6">
        <v>50</v>
      </c>
      <c r="C11" s="6">
        <f>100%*B11</f>
        <v>50</v>
      </c>
      <c r="D11" s="6">
        <f>2.8%*C11</f>
        <v>1.4</v>
      </c>
      <c r="E11" s="6">
        <f>3.2%*C11</f>
        <v>1.6</v>
      </c>
      <c r="F11" s="6">
        <f>4.7%*C11</f>
        <v>2.35</v>
      </c>
      <c r="G11" s="6">
        <f>4*(D11+F11)+9*E11</f>
        <v>29.4</v>
      </c>
    </row>
    <row r="12" spans="1:7" s="5" customFormat="1" x14ac:dyDescent="0.3">
      <c r="A12" s="11" t="s">
        <v>21</v>
      </c>
      <c r="B12" s="6">
        <v>7</v>
      </c>
      <c r="C12" s="6">
        <f>90%*B12</f>
        <v>6.3</v>
      </c>
      <c r="D12" s="6">
        <f>1.58%*C12</f>
        <v>9.9540000000000003E-2</v>
      </c>
      <c r="E12" s="6"/>
      <c r="F12" s="6">
        <f>9.5%*C12</f>
        <v>0.59850000000000003</v>
      </c>
      <c r="G12" s="6">
        <f>4*(D12+F12)+9*E12</f>
        <v>2.79216</v>
      </c>
    </row>
    <row r="13" spans="1:7" s="5" customFormat="1" x14ac:dyDescent="0.3">
      <c r="A13" s="11" t="s">
        <v>24</v>
      </c>
      <c r="B13" s="6">
        <v>10</v>
      </c>
      <c r="C13" s="6">
        <f>100%*B13</f>
        <v>10</v>
      </c>
      <c r="D13" s="6"/>
      <c r="E13" s="6">
        <f>99.9%*C13</f>
        <v>9.990000000000002</v>
      </c>
      <c r="F13" s="6"/>
      <c r="G13" s="6">
        <f>4*(D13+F13)+9*E13</f>
        <v>89.910000000000025</v>
      </c>
    </row>
    <row r="14" spans="1:7" s="5" customFormat="1" x14ac:dyDescent="0.3">
      <c r="A14" s="12" t="s">
        <v>20</v>
      </c>
      <c r="B14" s="6">
        <v>5</v>
      </c>
      <c r="C14" s="6">
        <v>15.3</v>
      </c>
      <c r="D14" s="6"/>
      <c r="E14" s="6"/>
      <c r="F14" s="6"/>
      <c r="G14" s="6"/>
    </row>
    <row r="15" spans="1:7" s="5" customFormat="1" x14ac:dyDescent="0.3">
      <c r="A15" s="11" t="s">
        <v>11</v>
      </c>
      <c r="B15" s="6">
        <v>1</v>
      </c>
      <c r="C15" s="6">
        <v>1</v>
      </c>
      <c r="D15" s="6"/>
      <c r="E15" s="6"/>
      <c r="F15" s="6"/>
      <c r="G15" s="6"/>
    </row>
    <row r="16" spans="1:7" s="5" customFormat="1" x14ac:dyDescent="0.3">
      <c r="A16" s="10" t="s">
        <v>13</v>
      </c>
      <c r="B16" s="152">
        <v>200</v>
      </c>
      <c r="C16" s="153"/>
      <c r="D16" s="15">
        <f>SUM(D9:D15)</f>
        <v>28.910540000000001</v>
      </c>
      <c r="E16" s="15">
        <f>SUM(E9:E15)</f>
        <v>31.180000000000007</v>
      </c>
      <c r="F16" s="15">
        <f>SUM(F9:F15)</f>
        <v>2.9485000000000001</v>
      </c>
      <c r="G16" s="15">
        <f>SUM(G9:G15)</f>
        <v>408.05616000000009</v>
      </c>
    </row>
    <row r="17" spans="1:7" x14ac:dyDescent="0.3">
      <c r="A17" s="1"/>
      <c r="B17" s="1"/>
      <c r="C17" s="1"/>
      <c r="D17" s="1"/>
      <c r="E17" s="1"/>
      <c r="F17" s="1"/>
      <c r="G17" s="1"/>
    </row>
    <row r="18" spans="1:7" x14ac:dyDescent="0.3">
      <c r="A18" s="144" t="s">
        <v>47</v>
      </c>
      <c r="B18" s="144"/>
      <c r="C18" s="144"/>
      <c r="D18" s="144"/>
      <c r="E18" s="144"/>
      <c r="F18" s="144"/>
      <c r="G18" s="144"/>
    </row>
    <row r="19" spans="1:7" ht="30" x14ac:dyDescent="0.3">
      <c r="A19" s="126" t="s">
        <v>0</v>
      </c>
      <c r="B19" s="126" t="s">
        <v>1</v>
      </c>
      <c r="C19" s="126"/>
      <c r="D19" s="138" t="s">
        <v>2</v>
      </c>
      <c r="E19" s="138" t="s">
        <v>3</v>
      </c>
      <c r="F19" s="126" t="s">
        <v>30</v>
      </c>
      <c r="G19" s="17" t="s">
        <v>5</v>
      </c>
    </row>
    <row r="20" spans="1:7" x14ac:dyDescent="0.3">
      <c r="A20" s="126"/>
      <c r="B20" s="17" t="s">
        <v>6</v>
      </c>
      <c r="C20" s="17" t="s">
        <v>7</v>
      </c>
      <c r="D20" s="131"/>
      <c r="E20" s="131"/>
      <c r="F20" s="126"/>
      <c r="G20" s="17" t="s">
        <v>8</v>
      </c>
    </row>
    <row r="21" spans="1:7" x14ac:dyDescent="0.3">
      <c r="A21" s="18" t="s">
        <v>48</v>
      </c>
      <c r="B21" s="3">
        <v>5</v>
      </c>
      <c r="C21" s="3">
        <f>100%*B21</f>
        <v>5</v>
      </c>
      <c r="D21" s="3">
        <f>20%*C21</f>
        <v>1</v>
      </c>
      <c r="E21" s="3">
        <f>13%*C21</f>
        <v>0.65</v>
      </c>
      <c r="F21" s="3">
        <f>26.6%*C21</f>
        <v>1.33</v>
      </c>
      <c r="G21" s="3">
        <f>4*(D21+F21)+9*E21</f>
        <v>15.170000000000002</v>
      </c>
    </row>
    <row r="22" spans="1:7" x14ac:dyDescent="0.3">
      <c r="A22" s="18" t="s">
        <v>49</v>
      </c>
      <c r="B22" s="3">
        <v>50</v>
      </c>
      <c r="C22" s="3">
        <f>100%*B22</f>
        <v>50</v>
      </c>
      <c r="D22" s="3">
        <f>2.8%*C22</f>
        <v>1.4</v>
      </c>
      <c r="E22" s="3">
        <f>3.2%*C22</f>
        <v>1.6</v>
      </c>
      <c r="F22" s="3">
        <f>4.7%*C22</f>
        <v>2.35</v>
      </c>
      <c r="G22" s="3">
        <f>4*(D22+F22)+9*E22</f>
        <v>29.4</v>
      </c>
    </row>
    <row r="23" spans="1:7" x14ac:dyDescent="0.3">
      <c r="A23" s="19" t="s">
        <v>10</v>
      </c>
      <c r="B23" s="3">
        <v>10</v>
      </c>
      <c r="C23" s="3">
        <f>100%*B23</f>
        <v>10</v>
      </c>
      <c r="D23" s="3"/>
      <c r="E23" s="3"/>
      <c r="F23" s="3">
        <f>99%*C23</f>
        <v>9.9</v>
      </c>
      <c r="G23" s="3">
        <f>4*(D23+F23)+9*E23</f>
        <v>39.6</v>
      </c>
    </row>
    <row r="24" spans="1:7" x14ac:dyDescent="0.3">
      <c r="A24" s="17" t="s">
        <v>13</v>
      </c>
      <c r="B24" s="134">
        <v>20</v>
      </c>
      <c r="C24" s="135"/>
      <c r="D24" s="22">
        <f>SUM(D21:D23)</f>
        <v>2.4</v>
      </c>
      <c r="E24" s="22">
        <f>SUM(E21:E23)</f>
        <v>2.25</v>
      </c>
      <c r="F24" s="22">
        <f>SUM(F21:F23)</f>
        <v>13.58</v>
      </c>
      <c r="G24" s="22">
        <f>SUM(G21:G23)</f>
        <v>84.17</v>
      </c>
    </row>
    <row r="25" spans="1:7" x14ac:dyDescent="0.3">
      <c r="A25" s="23"/>
      <c r="B25" s="23"/>
      <c r="C25" s="23"/>
      <c r="D25" s="24"/>
      <c r="E25" s="24"/>
      <c r="F25" s="24"/>
      <c r="G25" s="24"/>
    </row>
    <row r="26" spans="1:7" x14ac:dyDescent="0.3">
      <c r="A26" s="25" t="s">
        <v>110</v>
      </c>
      <c r="B26" s="125">
        <f>B24+B16</f>
        <v>220</v>
      </c>
      <c r="C26" s="125"/>
      <c r="D26" s="26">
        <f>D24+D16</f>
        <v>31.31054</v>
      </c>
      <c r="E26" s="26">
        <f t="shared" ref="E26:G26" si="0">E24+E16</f>
        <v>33.430000000000007</v>
      </c>
      <c r="F26" s="26">
        <f t="shared" si="0"/>
        <v>16.528500000000001</v>
      </c>
      <c r="G26" s="26">
        <f t="shared" si="0"/>
        <v>492.22616000000011</v>
      </c>
    </row>
    <row r="27" spans="1:7" x14ac:dyDescent="0.3">
      <c r="A27" s="27"/>
      <c r="B27" s="28"/>
      <c r="C27" s="28"/>
      <c r="D27" s="28"/>
      <c r="E27" s="28"/>
      <c r="F27" s="28"/>
      <c r="G27" s="28"/>
    </row>
    <row r="28" spans="1:7" x14ac:dyDescent="0.3">
      <c r="A28" s="27"/>
      <c r="B28" s="28"/>
      <c r="C28" s="28"/>
      <c r="D28" s="28"/>
      <c r="E28" s="28"/>
      <c r="F28" s="28"/>
      <c r="G28" s="28"/>
    </row>
    <row r="29" spans="1:7" x14ac:dyDescent="0.3">
      <c r="A29" s="29" t="s">
        <v>135</v>
      </c>
      <c r="B29" s="28"/>
      <c r="C29" s="28"/>
      <c r="D29" s="28"/>
      <c r="E29" s="28"/>
      <c r="F29" s="28"/>
      <c r="G29" s="28"/>
    </row>
    <row r="30" spans="1:7" x14ac:dyDescent="0.3">
      <c r="A30" s="144" t="s">
        <v>42</v>
      </c>
      <c r="B30" s="144"/>
      <c r="C30" s="144"/>
      <c r="D30" s="144"/>
      <c r="E30" s="144"/>
      <c r="F30" s="144"/>
      <c r="G30" s="144"/>
    </row>
    <row r="31" spans="1:7" ht="54" customHeight="1" x14ac:dyDescent="0.3">
      <c r="A31" s="126" t="s">
        <v>0</v>
      </c>
      <c r="B31" s="126" t="s">
        <v>1</v>
      </c>
      <c r="C31" s="126"/>
      <c r="D31" s="138" t="s">
        <v>2</v>
      </c>
      <c r="E31" s="138" t="s">
        <v>3</v>
      </c>
      <c r="F31" s="126" t="s">
        <v>30</v>
      </c>
      <c r="G31" s="17" t="s">
        <v>5</v>
      </c>
    </row>
    <row r="32" spans="1:7" x14ac:dyDescent="0.3">
      <c r="A32" s="126"/>
      <c r="B32" s="17" t="s">
        <v>6</v>
      </c>
      <c r="C32" s="17" t="s">
        <v>7</v>
      </c>
      <c r="D32" s="131"/>
      <c r="E32" s="131"/>
      <c r="F32" s="126"/>
      <c r="G32" s="17" t="s">
        <v>8</v>
      </c>
    </row>
    <row r="33" spans="1:7" x14ac:dyDescent="0.3">
      <c r="A33" s="19" t="s">
        <v>22</v>
      </c>
      <c r="B33" s="3">
        <v>100</v>
      </c>
      <c r="C33" s="3">
        <f>B33*75%</f>
        <v>75</v>
      </c>
      <c r="D33" s="3">
        <f>18.6%*C33</f>
        <v>13.950000000000003</v>
      </c>
      <c r="E33" s="3">
        <f>17.3%*C33</f>
        <v>12.975000000000001</v>
      </c>
      <c r="F33" s="3"/>
      <c r="G33" s="3">
        <f>4*(D33+F33)+9*E33</f>
        <v>172.57500000000002</v>
      </c>
    </row>
    <row r="34" spans="1:7" x14ac:dyDescent="0.3">
      <c r="A34" s="19" t="s">
        <v>21</v>
      </c>
      <c r="B34" s="3">
        <v>4</v>
      </c>
      <c r="C34" s="3">
        <f>90%*B34</f>
        <v>3.6</v>
      </c>
      <c r="D34" s="3">
        <f>1.58%*C34</f>
        <v>5.6880000000000007E-2</v>
      </c>
      <c r="E34" s="3"/>
      <c r="F34" s="3">
        <f>9.5%*C34</f>
        <v>0.34200000000000003</v>
      </c>
      <c r="G34" s="3">
        <f>4*(D34+F34)+9*E34</f>
        <v>1.59552</v>
      </c>
    </row>
    <row r="35" spans="1:7" x14ac:dyDescent="0.3">
      <c r="A35" s="19" t="s">
        <v>11</v>
      </c>
      <c r="B35" s="3">
        <v>1</v>
      </c>
      <c r="C35" s="3">
        <f>100%*B35</f>
        <v>1</v>
      </c>
      <c r="D35" s="3"/>
      <c r="E35" s="3"/>
      <c r="F35" s="3"/>
      <c r="G35" s="3">
        <f>4*(D35+F35)+9*E35</f>
        <v>0</v>
      </c>
    </row>
    <row r="36" spans="1:7" x14ac:dyDescent="0.3">
      <c r="A36" s="18" t="s">
        <v>27</v>
      </c>
      <c r="B36" s="3">
        <v>1</v>
      </c>
      <c r="C36" s="3">
        <f>92%*B36</f>
        <v>0.92</v>
      </c>
      <c r="D36" s="3"/>
      <c r="E36" s="3"/>
      <c r="F36" s="3"/>
      <c r="G36" s="3">
        <f>4*(D36+F36)+9*E36</f>
        <v>0</v>
      </c>
    </row>
    <row r="37" spans="1:7" x14ac:dyDescent="0.3">
      <c r="A37" s="17" t="s">
        <v>13</v>
      </c>
      <c r="B37" s="142">
        <v>90</v>
      </c>
      <c r="C37" s="143"/>
      <c r="D37" s="22">
        <f>SUM(D33:D36)</f>
        <v>14.006880000000002</v>
      </c>
      <c r="E37" s="22">
        <f>SUM(E33:E36)</f>
        <v>12.975000000000001</v>
      </c>
      <c r="F37" s="22">
        <f>SUM(F33:F36)</f>
        <v>0.34200000000000003</v>
      </c>
      <c r="G37" s="22">
        <f>SUM(G33:G36)</f>
        <v>174.17052000000001</v>
      </c>
    </row>
    <row r="39" spans="1:7" x14ac:dyDescent="0.3">
      <c r="A39" s="144" t="s">
        <v>38</v>
      </c>
      <c r="B39" s="144"/>
      <c r="C39" s="144"/>
      <c r="D39" s="144"/>
      <c r="E39" s="144"/>
      <c r="F39" s="144"/>
      <c r="G39" s="144"/>
    </row>
    <row r="40" spans="1:7" ht="54" customHeight="1" x14ac:dyDescent="0.3">
      <c r="A40" s="126" t="s">
        <v>0</v>
      </c>
      <c r="B40" s="126" t="s">
        <v>1</v>
      </c>
      <c r="C40" s="126"/>
      <c r="D40" s="138" t="s">
        <v>2</v>
      </c>
      <c r="E40" s="138" t="s">
        <v>3</v>
      </c>
      <c r="F40" s="126" t="s">
        <v>30</v>
      </c>
      <c r="G40" s="17" t="s">
        <v>5</v>
      </c>
    </row>
    <row r="41" spans="1:7" x14ac:dyDescent="0.3">
      <c r="A41" s="126"/>
      <c r="B41" s="17" t="s">
        <v>6</v>
      </c>
      <c r="C41" s="17" t="s">
        <v>7</v>
      </c>
      <c r="D41" s="131"/>
      <c r="E41" s="131"/>
      <c r="F41" s="126"/>
      <c r="G41" s="17" t="s">
        <v>8</v>
      </c>
    </row>
    <row r="42" spans="1:7" x14ac:dyDescent="0.3">
      <c r="A42" s="19" t="s">
        <v>19</v>
      </c>
      <c r="B42" s="3">
        <v>31</v>
      </c>
      <c r="C42" s="3">
        <f>80%*B42</f>
        <v>24.8</v>
      </c>
      <c r="D42" s="3">
        <f>1.77%*C42</f>
        <v>0.43896000000000002</v>
      </c>
      <c r="E42" s="3"/>
      <c r="F42" s="3">
        <f>11%*C42</f>
        <v>2.7280000000000002</v>
      </c>
      <c r="G42" s="3">
        <f t="shared" ref="G42:G48" si="1">4*(D42+F42)+9*E42</f>
        <v>12.667840000000002</v>
      </c>
    </row>
    <row r="43" spans="1:7" x14ac:dyDescent="0.3">
      <c r="A43" s="19" t="s">
        <v>23</v>
      </c>
      <c r="B43" s="3">
        <v>120</v>
      </c>
      <c r="C43" s="3">
        <f>72%*B43</f>
        <v>86.399999999999991</v>
      </c>
      <c r="D43" s="3">
        <f>2.1%*C43</f>
        <v>1.8144</v>
      </c>
      <c r="E43" s="3">
        <f>0.4%*C43</f>
        <v>0.34559999999999996</v>
      </c>
      <c r="F43" s="3">
        <f>15.6%*C43</f>
        <v>13.478399999999999</v>
      </c>
      <c r="G43" s="3">
        <f t="shared" si="1"/>
        <v>64.281599999999997</v>
      </c>
    </row>
    <row r="44" spans="1:7" x14ac:dyDescent="0.3">
      <c r="A44" s="19" t="s">
        <v>15</v>
      </c>
      <c r="B44" s="3">
        <v>50</v>
      </c>
      <c r="C44" s="3">
        <f>90%*B44</f>
        <v>45</v>
      </c>
      <c r="D44" s="3">
        <f>0.8%*C44</f>
        <v>0.36</v>
      </c>
      <c r="E44" s="3"/>
      <c r="F44" s="3">
        <f>2.6%*C44</f>
        <v>1.1700000000000002</v>
      </c>
      <c r="G44" s="3">
        <f t="shared" si="1"/>
        <v>6.120000000000001</v>
      </c>
    </row>
    <row r="45" spans="1:7" x14ac:dyDescent="0.3">
      <c r="A45" s="19" t="s">
        <v>24</v>
      </c>
      <c r="B45" s="3">
        <v>5</v>
      </c>
      <c r="C45" s="3">
        <f>100%*B45</f>
        <v>5</v>
      </c>
      <c r="D45" s="3"/>
      <c r="E45" s="3">
        <f>99.9%*C45</f>
        <v>4.995000000000001</v>
      </c>
      <c r="F45" s="3"/>
      <c r="G45" s="3">
        <f t="shared" si="1"/>
        <v>44.955000000000013</v>
      </c>
    </row>
    <row r="46" spans="1:7" x14ac:dyDescent="0.3">
      <c r="A46" s="19" t="s">
        <v>20</v>
      </c>
      <c r="B46" s="3">
        <v>7</v>
      </c>
      <c r="C46" s="3">
        <f>85%*B46</f>
        <v>5.95</v>
      </c>
      <c r="D46" s="3"/>
      <c r="E46" s="3"/>
      <c r="F46" s="3"/>
      <c r="G46" s="3">
        <f t="shared" si="1"/>
        <v>0</v>
      </c>
    </row>
    <row r="47" spans="1:7" x14ac:dyDescent="0.3">
      <c r="A47" s="19" t="s">
        <v>43</v>
      </c>
      <c r="B47" s="3">
        <v>5</v>
      </c>
      <c r="C47" s="3">
        <f>100%*B47</f>
        <v>5</v>
      </c>
      <c r="D47" s="3"/>
      <c r="E47" s="3"/>
      <c r="F47" s="3">
        <f>17.7%*C47</f>
        <v>0.88500000000000001</v>
      </c>
      <c r="G47" s="3">
        <f t="shared" si="1"/>
        <v>3.54</v>
      </c>
    </row>
    <row r="48" spans="1:7" ht="18.75" customHeight="1" x14ac:dyDescent="0.3">
      <c r="A48" s="19" t="s">
        <v>11</v>
      </c>
      <c r="B48" s="3">
        <v>1</v>
      </c>
      <c r="C48" s="3">
        <f>100%*B48</f>
        <v>1</v>
      </c>
      <c r="D48" s="3"/>
      <c r="E48" s="3"/>
      <c r="F48" s="3"/>
      <c r="G48" s="3">
        <f t="shared" si="1"/>
        <v>0</v>
      </c>
    </row>
    <row r="49" spans="1:7" x14ac:dyDescent="0.3">
      <c r="A49" s="17" t="s">
        <v>13</v>
      </c>
      <c r="B49" s="134">
        <v>150</v>
      </c>
      <c r="C49" s="135"/>
      <c r="D49" s="22">
        <f>SUM(D42:D48)</f>
        <v>2.6133599999999997</v>
      </c>
      <c r="E49" s="22">
        <f>SUM(E42:E48)</f>
        <v>5.3406000000000011</v>
      </c>
      <c r="F49" s="22">
        <f>SUM(F42:F48)</f>
        <v>18.261400000000002</v>
      </c>
      <c r="G49" s="22">
        <f>SUM(G42:G48)</f>
        <v>131.56444000000002</v>
      </c>
    </row>
    <row r="50" spans="1:7" x14ac:dyDescent="0.3">
      <c r="A50" s="30"/>
      <c r="B50" s="6"/>
      <c r="C50" s="6"/>
      <c r="D50" s="6"/>
      <c r="E50" s="6"/>
      <c r="F50" s="6"/>
      <c r="G50" s="6"/>
    </row>
    <row r="51" spans="1:7" s="32" customFormat="1" x14ac:dyDescent="0.3">
      <c r="A51" s="31" t="s">
        <v>14</v>
      </c>
      <c r="B51" s="22">
        <v>250</v>
      </c>
      <c r="C51" s="22">
        <f>B51*100%</f>
        <v>250</v>
      </c>
      <c r="D51" s="22">
        <f>C51*7.9%</f>
        <v>19.75</v>
      </c>
      <c r="E51" s="22">
        <f>C51*1%</f>
        <v>2.5</v>
      </c>
      <c r="F51" s="22">
        <f>C51*49.6%</f>
        <v>124</v>
      </c>
      <c r="G51" s="22">
        <f>4*(D51+F51)+9*E51</f>
        <v>597.5</v>
      </c>
    </row>
    <row r="52" spans="1:7" s="32" customFormat="1" x14ac:dyDescent="0.3">
      <c r="A52" s="31"/>
      <c r="B52" s="22"/>
      <c r="C52" s="22"/>
      <c r="D52" s="33"/>
      <c r="E52" s="33"/>
      <c r="F52" s="22"/>
      <c r="G52" s="22"/>
    </row>
    <row r="53" spans="1:7" s="5" customFormat="1" ht="30" x14ac:dyDescent="0.3">
      <c r="A53" s="126" t="s">
        <v>0</v>
      </c>
      <c r="B53" s="126" t="s">
        <v>1</v>
      </c>
      <c r="C53" s="126"/>
      <c r="D53" s="138" t="s">
        <v>2</v>
      </c>
      <c r="E53" s="138" t="s">
        <v>3</v>
      </c>
      <c r="F53" s="126" t="s">
        <v>30</v>
      </c>
      <c r="G53" s="17" t="s">
        <v>5</v>
      </c>
    </row>
    <row r="54" spans="1:7" s="5" customFormat="1" x14ac:dyDescent="0.3">
      <c r="A54" s="126"/>
      <c r="B54" s="17" t="s">
        <v>6</v>
      </c>
      <c r="C54" s="17" t="s">
        <v>7</v>
      </c>
      <c r="D54" s="131"/>
      <c r="E54" s="131"/>
      <c r="F54" s="126"/>
      <c r="G54" s="17" t="s">
        <v>8</v>
      </c>
    </row>
    <row r="55" spans="1:7" s="5" customFormat="1" x14ac:dyDescent="0.3">
      <c r="A55" s="34" t="s">
        <v>81</v>
      </c>
      <c r="B55" s="35">
        <v>3</v>
      </c>
      <c r="C55" s="35">
        <f>100%*B55</f>
        <v>3</v>
      </c>
      <c r="D55" s="35"/>
      <c r="E55" s="35"/>
      <c r="F55" s="35"/>
      <c r="G55" s="35">
        <f>4*(D55+F55)+9*E55</f>
        <v>0</v>
      </c>
    </row>
    <row r="56" spans="1:7" s="5" customFormat="1" x14ac:dyDescent="0.3">
      <c r="A56" s="34" t="s">
        <v>10</v>
      </c>
      <c r="B56" s="35">
        <v>10</v>
      </c>
      <c r="C56" s="35">
        <f>100%*B56</f>
        <v>10</v>
      </c>
      <c r="D56" s="35"/>
      <c r="E56" s="35"/>
      <c r="F56" s="35">
        <f>99%*C56</f>
        <v>9.9</v>
      </c>
      <c r="G56" s="35">
        <f>4*(D56+F56)+9*E56</f>
        <v>39.6</v>
      </c>
    </row>
    <row r="57" spans="1:7" s="5" customFormat="1" x14ac:dyDescent="0.3">
      <c r="A57" s="36" t="s">
        <v>13</v>
      </c>
      <c r="B57" s="139">
        <v>200</v>
      </c>
      <c r="C57" s="140"/>
      <c r="D57" s="38"/>
      <c r="E57" s="38"/>
      <c r="F57" s="38">
        <f>SUM(F55:F56)</f>
        <v>9.9</v>
      </c>
      <c r="G57" s="38">
        <f>SUM(G55:G56)</f>
        <v>39.6</v>
      </c>
    </row>
    <row r="58" spans="1:7" s="32" customFormat="1" ht="15.75" thickBot="1" x14ac:dyDescent="0.35">
      <c r="A58" s="39"/>
      <c r="B58" s="40"/>
      <c r="C58" s="40"/>
      <c r="D58" s="40"/>
      <c r="E58" s="40"/>
      <c r="F58" s="40"/>
      <c r="G58" s="40"/>
    </row>
    <row r="59" spans="1:7" ht="15.75" thickBot="1" x14ac:dyDescent="0.35">
      <c r="A59" s="127" t="s">
        <v>44</v>
      </c>
      <c r="B59" s="128"/>
      <c r="C59" s="128"/>
      <c r="D59" s="128"/>
      <c r="E59" s="128"/>
      <c r="F59" s="128"/>
      <c r="G59" s="129"/>
    </row>
    <row r="60" spans="1:7" ht="30" x14ac:dyDescent="0.3">
      <c r="A60" s="130" t="s">
        <v>0</v>
      </c>
      <c r="B60" s="132" t="s">
        <v>1</v>
      </c>
      <c r="C60" s="133"/>
      <c r="D60" s="130" t="s">
        <v>2</v>
      </c>
      <c r="E60" s="130" t="s">
        <v>3</v>
      </c>
      <c r="F60" s="130" t="s">
        <v>30</v>
      </c>
      <c r="G60" s="41" t="s">
        <v>5</v>
      </c>
    </row>
    <row r="61" spans="1:7" x14ac:dyDescent="0.3">
      <c r="A61" s="131"/>
      <c r="B61" s="17" t="s">
        <v>6</v>
      </c>
      <c r="C61" s="17" t="s">
        <v>7</v>
      </c>
      <c r="D61" s="131"/>
      <c r="E61" s="131"/>
      <c r="F61" s="131"/>
      <c r="G61" s="17" t="s">
        <v>8</v>
      </c>
    </row>
    <row r="62" spans="1:7" ht="30" x14ac:dyDescent="0.3">
      <c r="A62" s="18" t="s">
        <v>45</v>
      </c>
      <c r="B62" s="3">
        <v>100</v>
      </c>
      <c r="C62" s="3">
        <f>B62*75%</f>
        <v>75</v>
      </c>
      <c r="D62" s="3">
        <f>18.6%*C62</f>
        <v>13.950000000000003</v>
      </c>
      <c r="E62" s="3">
        <f>17.3%*C62</f>
        <v>12.975000000000001</v>
      </c>
      <c r="F62" s="3"/>
      <c r="G62" s="3">
        <f t="shared" ref="G62:G67" si="2">4*(D62+F62)+9*E62</f>
        <v>172.57500000000002</v>
      </c>
    </row>
    <row r="63" spans="1:7" ht="45" x14ac:dyDescent="0.3">
      <c r="A63" s="18" t="s">
        <v>46</v>
      </c>
      <c r="B63" s="3">
        <v>5</v>
      </c>
      <c r="C63" s="3">
        <f>100%*B63</f>
        <v>5</v>
      </c>
      <c r="D63" s="3">
        <f>0.5%*C63</f>
        <v>2.5000000000000001E-2</v>
      </c>
      <c r="E63" s="3">
        <f>82.5%*C63</f>
        <v>4.125</v>
      </c>
      <c r="F63" s="3">
        <f>0.8%*C63</f>
        <v>0.04</v>
      </c>
      <c r="G63" s="3">
        <f t="shared" si="2"/>
        <v>37.384999999999998</v>
      </c>
    </row>
    <row r="64" spans="1:7" x14ac:dyDescent="0.3">
      <c r="A64" s="19" t="s">
        <v>19</v>
      </c>
      <c r="B64" s="3">
        <v>25</v>
      </c>
      <c r="C64" s="3">
        <f>80%*B64</f>
        <v>20</v>
      </c>
      <c r="D64" s="3">
        <f>1.77%*C64</f>
        <v>0.35399999999999998</v>
      </c>
      <c r="E64" s="3"/>
      <c r="F64" s="3">
        <f>11%*C64</f>
        <v>2.2000000000000002</v>
      </c>
      <c r="G64" s="3">
        <f t="shared" si="2"/>
        <v>10.216000000000001</v>
      </c>
    </row>
    <row r="65" spans="1:7" x14ac:dyDescent="0.3">
      <c r="A65" s="18" t="s">
        <v>18</v>
      </c>
      <c r="B65" s="3">
        <v>50</v>
      </c>
      <c r="C65" s="3">
        <f>B65*100%</f>
        <v>50</v>
      </c>
      <c r="D65" s="3">
        <f>7.4%*C65</f>
        <v>3.7000000000000006</v>
      </c>
      <c r="E65" s="3">
        <f>3.14%*C65</f>
        <v>1.5700000000000003</v>
      </c>
      <c r="F65" s="3">
        <f>62.3%*C65</f>
        <v>31.15</v>
      </c>
      <c r="G65" s="3">
        <f t="shared" si="2"/>
        <v>153.53</v>
      </c>
    </row>
    <row r="66" spans="1:7" x14ac:dyDescent="0.3">
      <c r="A66" s="18" t="s">
        <v>26</v>
      </c>
      <c r="B66" s="3">
        <v>1</v>
      </c>
      <c r="C66" s="3">
        <f>100%*B66</f>
        <v>1</v>
      </c>
      <c r="D66" s="3"/>
      <c r="E66" s="3"/>
      <c r="F66" s="3"/>
      <c r="G66" s="3">
        <f t="shared" si="2"/>
        <v>0</v>
      </c>
    </row>
    <row r="67" spans="1:7" x14ac:dyDescent="0.3">
      <c r="A67" s="19" t="s">
        <v>11</v>
      </c>
      <c r="B67" s="3">
        <v>1.5</v>
      </c>
      <c r="C67" s="3">
        <f>100%*B67</f>
        <v>1.5</v>
      </c>
      <c r="D67" s="3"/>
      <c r="E67" s="3"/>
      <c r="F67" s="3"/>
      <c r="G67" s="3">
        <f t="shared" si="2"/>
        <v>0</v>
      </c>
    </row>
    <row r="68" spans="1:7" x14ac:dyDescent="0.3">
      <c r="A68" s="17" t="s">
        <v>13</v>
      </c>
      <c r="B68" s="134">
        <v>250</v>
      </c>
      <c r="C68" s="135"/>
      <c r="D68" s="22">
        <f>SUM(D62:D67)</f>
        <v>18.029000000000003</v>
      </c>
      <c r="E68" s="22">
        <f>SUM(E62:E67)</f>
        <v>18.670000000000002</v>
      </c>
      <c r="F68" s="22">
        <f>SUM(F62:F67)</f>
        <v>33.39</v>
      </c>
      <c r="G68" s="22">
        <f>SUM(G62:G67)</f>
        <v>373.70600000000002</v>
      </c>
    </row>
    <row r="69" spans="1:7" x14ac:dyDescent="0.3">
      <c r="A69" s="42"/>
    </row>
    <row r="70" spans="1:7" hidden="1" x14ac:dyDescent="0.3">
      <c r="A70" s="19"/>
      <c r="B70" s="3"/>
      <c r="C70" s="3"/>
      <c r="D70" s="3"/>
      <c r="E70" s="3"/>
      <c r="F70" s="3"/>
      <c r="G70" s="3"/>
    </row>
    <row r="71" spans="1:7" hidden="1" x14ac:dyDescent="0.3">
      <c r="A71" s="17"/>
      <c r="B71" s="43"/>
      <c r="C71" s="44"/>
      <c r="D71" s="22"/>
      <c r="E71" s="22"/>
      <c r="F71" s="22"/>
      <c r="G71" s="22"/>
    </row>
    <row r="73" spans="1:7" x14ac:dyDescent="0.3">
      <c r="A73" s="25" t="s">
        <v>124</v>
      </c>
      <c r="B73" s="125">
        <f>B68+C51+B49+B37+C50+B57</f>
        <v>940</v>
      </c>
      <c r="C73" s="125"/>
      <c r="D73" s="26">
        <f t="shared" ref="D73:F73" si="3">D68+D51+D49+D37+D50+D57</f>
        <v>54.399240000000006</v>
      </c>
      <c r="E73" s="26">
        <f t="shared" si="3"/>
        <v>39.485600000000005</v>
      </c>
      <c r="F73" s="26">
        <f t="shared" si="3"/>
        <v>185.89340000000001</v>
      </c>
      <c r="G73" s="26">
        <f>G68+G51+G49+G37+G50+G57</f>
        <v>1316.5409599999998</v>
      </c>
    </row>
    <row r="74" spans="1:7" x14ac:dyDescent="0.3">
      <c r="A74" s="27"/>
      <c r="B74" s="28"/>
      <c r="C74" s="28"/>
      <c r="D74" s="28"/>
      <c r="E74" s="28"/>
      <c r="F74" s="28"/>
      <c r="G74" s="28"/>
    </row>
    <row r="75" spans="1:7" x14ac:dyDescent="0.3">
      <c r="A75" s="27"/>
      <c r="B75" s="28"/>
      <c r="C75" s="28"/>
      <c r="D75" s="28"/>
      <c r="E75" s="28"/>
      <c r="F75" s="28"/>
      <c r="G75" s="28"/>
    </row>
    <row r="76" spans="1:7" x14ac:dyDescent="0.3">
      <c r="A76" s="29" t="s">
        <v>134</v>
      </c>
      <c r="B76" s="28"/>
      <c r="C76" s="28"/>
      <c r="D76" s="28"/>
      <c r="E76" s="28"/>
      <c r="F76" s="28"/>
      <c r="G76" s="28"/>
    </row>
    <row r="77" spans="1:7" x14ac:dyDescent="0.3">
      <c r="A77" s="1"/>
      <c r="B77" s="1"/>
      <c r="C77" s="1"/>
      <c r="D77" s="1"/>
      <c r="E77" s="1"/>
      <c r="F77" s="1"/>
      <c r="G77" s="1"/>
    </row>
    <row r="78" spans="1:7" ht="23.25" customHeight="1" x14ac:dyDescent="0.3">
      <c r="A78" s="144" t="s">
        <v>51</v>
      </c>
      <c r="B78" s="144"/>
      <c r="C78" s="144"/>
      <c r="D78" s="144"/>
      <c r="E78" s="144"/>
      <c r="F78" s="144"/>
      <c r="G78" s="144"/>
    </row>
    <row r="79" spans="1:7" ht="30" x14ac:dyDescent="0.3">
      <c r="A79" s="126" t="s">
        <v>0</v>
      </c>
      <c r="B79" s="126" t="s">
        <v>1</v>
      </c>
      <c r="C79" s="126"/>
      <c r="D79" s="138" t="s">
        <v>2</v>
      </c>
      <c r="E79" s="138" t="s">
        <v>3</v>
      </c>
      <c r="F79" s="126" t="s">
        <v>30</v>
      </c>
      <c r="G79" s="17" t="s">
        <v>5</v>
      </c>
    </row>
    <row r="80" spans="1:7" x14ac:dyDescent="0.3">
      <c r="A80" s="126"/>
      <c r="B80" s="17" t="s">
        <v>6</v>
      </c>
      <c r="C80" s="17" t="s">
        <v>7</v>
      </c>
      <c r="D80" s="131"/>
      <c r="E80" s="131"/>
      <c r="F80" s="126"/>
      <c r="G80" s="17" t="s">
        <v>8</v>
      </c>
    </row>
    <row r="81" spans="1:7" x14ac:dyDescent="0.3">
      <c r="A81" s="18" t="s">
        <v>52</v>
      </c>
      <c r="B81" s="3">
        <v>95</v>
      </c>
      <c r="C81" s="3">
        <v>90.25</v>
      </c>
      <c r="D81" s="3">
        <f>18.6%*C81</f>
        <v>16.786500000000004</v>
      </c>
      <c r="E81" s="3">
        <f>17.3%*C81</f>
        <v>15.613250000000001</v>
      </c>
      <c r="F81" s="3"/>
      <c r="G81" s="3">
        <f t="shared" ref="G81:G88" si="4">4*(D81+F81)+9*E81</f>
        <v>207.66525000000001</v>
      </c>
    </row>
    <row r="82" spans="1:7" x14ac:dyDescent="0.3">
      <c r="A82" s="19" t="s">
        <v>53</v>
      </c>
      <c r="B82" s="3">
        <v>60</v>
      </c>
      <c r="C82" s="3">
        <f>B82*100%</f>
        <v>60</v>
      </c>
      <c r="D82" s="3">
        <f>9.15%*C82</f>
        <v>5.49</v>
      </c>
      <c r="E82" s="3">
        <f>0.8%*C82</f>
        <v>0.48</v>
      </c>
      <c r="F82" s="3">
        <f>60%*C82</f>
        <v>36</v>
      </c>
      <c r="G82" s="3">
        <f t="shared" si="4"/>
        <v>170.28</v>
      </c>
    </row>
    <row r="83" spans="1:7" x14ac:dyDescent="0.3">
      <c r="A83" s="18" t="s">
        <v>24</v>
      </c>
      <c r="B83" s="3">
        <v>5</v>
      </c>
      <c r="C83" s="3">
        <f>100%*B83</f>
        <v>5</v>
      </c>
      <c r="D83" s="3"/>
      <c r="E83" s="3">
        <f>99.9%*C83</f>
        <v>4.995000000000001</v>
      </c>
      <c r="F83" s="3"/>
      <c r="G83" s="3">
        <f t="shared" si="4"/>
        <v>44.955000000000013</v>
      </c>
    </row>
    <row r="84" spans="1:7" ht="30" x14ac:dyDescent="0.3">
      <c r="A84" s="18" t="s">
        <v>54</v>
      </c>
      <c r="B84" s="3">
        <v>1</v>
      </c>
      <c r="C84" s="3">
        <f>B84*48</f>
        <v>48</v>
      </c>
      <c r="D84" s="3">
        <f>12.7%*C84</f>
        <v>6.0960000000000001</v>
      </c>
      <c r="E84" s="3">
        <f>11.5%*C84</f>
        <v>5.5200000000000005</v>
      </c>
      <c r="F84" s="3"/>
      <c r="G84" s="3">
        <f t="shared" si="4"/>
        <v>74.064000000000007</v>
      </c>
    </row>
    <row r="85" spans="1:7" x14ac:dyDescent="0.3">
      <c r="A85" s="18" t="s">
        <v>27</v>
      </c>
      <c r="B85" s="3">
        <v>2</v>
      </c>
      <c r="C85" s="3">
        <f>92%*B85</f>
        <v>1.84</v>
      </c>
      <c r="D85" s="3"/>
      <c r="E85" s="3"/>
      <c r="F85" s="3"/>
      <c r="G85" s="3">
        <f t="shared" si="4"/>
        <v>0</v>
      </c>
    </row>
    <row r="86" spans="1:7" x14ac:dyDescent="0.3">
      <c r="A86" s="18" t="s">
        <v>21</v>
      </c>
      <c r="B86" s="3">
        <v>12</v>
      </c>
      <c r="C86" s="3">
        <f>90%*B86</f>
        <v>10.8</v>
      </c>
      <c r="D86" s="3">
        <f>1.58%*C86</f>
        <v>0.17064000000000004</v>
      </c>
      <c r="E86" s="3"/>
      <c r="F86" s="3">
        <f>9.5%*C86</f>
        <v>1.026</v>
      </c>
      <c r="G86" s="3">
        <f t="shared" si="4"/>
        <v>4.7865600000000006</v>
      </c>
    </row>
    <row r="87" spans="1:7" x14ac:dyDescent="0.3">
      <c r="A87" s="18" t="s">
        <v>11</v>
      </c>
      <c r="B87" s="3">
        <v>1</v>
      </c>
      <c r="C87" s="3">
        <f>100%*B87</f>
        <v>1</v>
      </c>
      <c r="D87" s="3"/>
      <c r="E87" s="3"/>
      <c r="F87" s="3"/>
      <c r="G87" s="3">
        <f t="shared" si="4"/>
        <v>0</v>
      </c>
    </row>
    <row r="88" spans="1:7" x14ac:dyDescent="0.3">
      <c r="A88" s="18" t="s">
        <v>26</v>
      </c>
      <c r="B88" s="3">
        <v>1</v>
      </c>
      <c r="C88" s="3">
        <f>100%*B88</f>
        <v>1</v>
      </c>
      <c r="D88" s="3"/>
      <c r="E88" s="3"/>
      <c r="F88" s="3"/>
      <c r="G88" s="3">
        <f t="shared" si="4"/>
        <v>0</v>
      </c>
    </row>
    <row r="89" spans="1:7" x14ac:dyDescent="0.3">
      <c r="A89" s="17" t="s">
        <v>13</v>
      </c>
      <c r="B89" s="142" t="s">
        <v>55</v>
      </c>
      <c r="C89" s="143"/>
      <c r="D89" s="22">
        <f>SUM(D81:D88)</f>
        <v>28.543140000000005</v>
      </c>
      <c r="E89" s="22">
        <f>SUM(E81:E88)</f>
        <v>26.608250000000002</v>
      </c>
      <c r="F89" s="22">
        <f>SUM(F81:F88)</f>
        <v>37.026000000000003</v>
      </c>
      <c r="G89" s="22">
        <f>SUM(G81:G88)</f>
        <v>501.75081000000006</v>
      </c>
    </row>
    <row r="90" spans="1:7" x14ac:dyDescent="0.3">
      <c r="A90" s="1"/>
      <c r="B90" s="1"/>
      <c r="C90" s="1"/>
      <c r="D90" s="1"/>
      <c r="E90" s="1"/>
      <c r="F90" s="1"/>
      <c r="G90" s="1"/>
    </row>
    <row r="91" spans="1:7" x14ac:dyDescent="0.3">
      <c r="A91" s="45"/>
      <c r="B91" s="46"/>
      <c r="C91" s="46"/>
      <c r="D91" s="47"/>
      <c r="E91" s="47"/>
      <c r="F91" s="47"/>
      <c r="G91" s="47"/>
    </row>
    <row r="92" spans="1:7" ht="14.25" customHeight="1" x14ac:dyDescent="0.3">
      <c r="A92" s="144" t="s">
        <v>56</v>
      </c>
      <c r="B92" s="144"/>
      <c r="C92" s="144"/>
      <c r="D92" s="144"/>
      <c r="E92" s="144"/>
    </row>
    <row r="93" spans="1:7" ht="30" x14ac:dyDescent="0.3">
      <c r="A93" s="126" t="s">
        <v>0</v>
      </c>
      <c r="B93" s="126" t="s">
        <v>1</v>
      </c>
      <c r="C93" s="126"/>
      <c r="D93" s="138" t="s">
        <v>2</v>
      </c>
      <c r="E93" s="138" t="s">
        <v>3</v>
      </c>
      <c r="F93" s="126" t="s">
        <v>30</v>
      </c>
      <c r="G93" s="17" t="s">
        <v>5</v>
      </c>
    </row>
    <row r="94" spans="1:7" x14ac:dyDescent="0.3">
      <c r="A94" s="126"/>
      <c r="B94" s="17" t="s">
        <v>6</v>
      </c>
      <c r="C94" s="17" t="s">
        <v>7</v>
      </c>
      <c r="D94" s="131"/>
      <c r="E94" s="131"/>
      <c r="F94" s="126"/>
      <c r="G94" s="17" t="s">
        <v>8</v>
      </c>
    </row>
    <row r="95" spans="1:7" x14ac:dyDescent="0.3">
      <c r="A95" s="18" t="s">
        <v>23</v>
      </c>
      <c r="B95" s="3">
        <v>60</v>
      </c>
      <c r="C95" s="3">
        <f>72%*B95</f>
        <v>43.199999999999996</v>
      </c>
      <c r="D95" s="3">
        <f>2.1%*C95</f>
        <v>0.90720000000000001</v>
      </c>
      <c r="E95" s="3">
        <f>0.4%*C95</f>
        <v>0.17279999999999998</v>
      </c>
      <c r="F95" s="3">
        <f>15.6%*C95</f>
        <v>6.7391999999999994</v>
      </c>
      <c r="G95" s="3">
        <f t="shared" ref="G95:G102" si="5">4*(D95+F95)+9*E95</f>
        <v>32.140799999999999</v>
      </c>
    </row>
    <row r="96" spans="1:7" x14ac:dyDescent="0.3">
      <c r="A96" s="18" t="s">
        <v>57</v>
      </c>
      <c r="B96" s="3">
        <v>30</v>
      </c>
      <c r="C96" s="3">
        <f>90%*B96</f>
        <v>27</v>
      </c>
      <c r="D96" s="3">
        <f>1.66%*C96</f>
        <v>0.44819999999999999</v>
      </c>
      <c r="E96" s="3"/>
      <c r="F96" s="3">
        <f>10%*C96</f>
        <v>2.7</v>
      </c>
      <c r="G96" s="3">
        <f t="shared" si="5"/>
        <v>12.5928</v>
      </c>
    </row>
    <row r="97" spans="1:7" x14ac:dyDescent="0.3">
      <c r="A97" s="48" t="s">
        <v>58</v>
      </c>
      <c r="B97" s="3">
        <v>20</v>
      </c>
      <c r="C97" s="3">
        <f>100%*B97</f>
        <v>20</v>
      </c>
      <c r="D97" s="3">
        <f>0.8%*C97</f>
        <v>0.16</v>
      </c>
      <c r="E97" s="3"/>
      <c r="F97" s="3">
        <f>9.3%*C97</f>
        <v>1.8600000000000003</v>
      </c>
      <c r="G97" s="3">
        <f t="shared" si="5"/>
        <v>8.0800000000000018</v>
      </c>
    </row>
    <row r="98" spans="1:7" x14ac:dyDescent="0.3">
      <c r="A98" s="18" t="s">
        <v>59</v>
      </c>
      <c r="B98" s="3">
        <v>20</v>
      </c>
      <c r="C98" s="3">
        <f>B98*100%</f>
        <v>20</v>
      </c>
      <c r="D98" s="3">
        <f>C98*20.8%</f>
        <v>4.16</v>
      </c>
      <c r="E98" s="3">
        <f>C98*2%</f>
        <v>0.4</v>
      </c>
      <c r="F98" s="3">
        <f>C98*46.6%</f>
        <v>9.32</v>
      </c>
      <c r="G98" s="3">
        <f t="shared" si="5"/>
        <v>57.52</v>
      </c>
    </row>
    <row r="99" spans="1:7" x14ac:dyDescent="0.3">
      <c r="A99" s="18" t="s">
        <v>21</v>
      </c>
      <c r="B99" s="3">
        <v>12</v>
      </c>
      <c r="C99" s="3">
        <f>90%*B99</f>
        <v>10.8</v>
      </c>
      <c r="D99" s="3">
        <f>1.58%*C99</f>
        <v>0.17064000000000004</v>
      </c>
      <c r="E99" s="3"/>
      <c r="F99" s="3">
        <f>9.5%*C99</f>
        <v>1.026</v>
      </c>
      <c r="G99" s="3">
        <f t="shared" si="5"/>
        <v>4.7865600000000006</v>
      </c>
    </row>
    <row r="100" spans="1:7" x14ac:dyDescent="0.3">
      <c r="A100" s="18" t="s">
        <v>19</v>
      </c>
      <c r="B100" s="3">
        <v>30</v>
      </c>
      <c r="C100" s="3">
        <f>80%*B100</f>
        <v>24</v>
      </c>
      <c r="D100" s="3">
        <f>1.77%*C100</f>
        <v>0.42480000000000001</v>
      </c>
      <c r="E100" s="3"/>
      <c r="F100" s="3">
        <f>11%*C100</f>
        <v>2.64</v>
      </c>
      <c r="G100" s="3">
        <f t="shared" si="5"/>
        <v>12.2592</v>
      </c>
    </row>
    <row r="101" spans="1:7" x14ac:dyDescent="0.3">
      <c r="A101" s="18" t="s">
        <v>24</v>
      </c>
      <c r="B101" s="3">
        <v>7</v>
      </c>
      <c r="C101" s="3">
        <f>100%*B101</f>
        <v>7</v>
      </c>
      <c r="D101" s="3"/>
      <c r="E101" s="3">
        <f>99.9%*C101</f>
        <v>6.9930000000000003</v>
      </c>
      <c r="F101" s="3"/>
      <c r="G101" s="3">
        <f t="shared" si="5"/>
        <v>62.937000000000005</v>
      </c>
    </row>
    <row r="102" spans="1:7" x14ac:dyDescent="0.3">
      <c r="A102" s="18" t="s">
        <v>20</v>
      </c>
      <c r="B102" s="3">
        <v>7</v>
      </c>
      <c r="C102" s="3">
        <f>85%*B102</f>
        <v>5.95</v>
      </c>
      <c r="D102" s="3"/>
      <c r="E102" s="3"/>
      <c r="F102" s="3"/>
      <c r="G102" s="3">
        <f t="shared" si="5"/>
        <v>0</v>
      </c>
    </row>
    <row r="103" spans="1:7" x14ac:dyDescent="0.3">
      <c r="A103" s="18" t="s">
        <v>11</v>
      </c>
      <c r="B103" s="3">
        <v>1.5</v>
      </c>
      <c r="C103" s="3">
        <v>1.5</v>
      </c>
      <c r="D103" s="3"/>
      <c r="E103" s="3"/>
      <c r="F103" s="3"/>
      <c r="G103" s="3"/>
    </row>
    <row r="104" spans="1:7" x14ac:dyDescent="0.3">
      <c r="A104" s="31" t="s">
        <v>13</v>
      </c>
      <c r="B104" s="136">
        <v>150</v>
      </c>
      <c r="C104" s="137"/>
      <c r="D104" s="22">
        <f>SUM(D95:D103)</f>
        <v>6.2708399999999997</v>
      </c>
      <c r="E104" s="22">
        <f>SUM(E95:E103)</f>
        <v>7.5658000000000003</v>
      </c>
      <c r="F104" s="22">
        <f>SUM(F95:F103)</f>
        <v>24.2852</v>
      </c>
      <c r="G104" s="22">
        <f>SUM(G95:G103)</f>
        <v>190.31636</v>
      </c>
    </row>
    <row r="105" spans="1:7" s="32" customFormat="1" x14ac:dyDescent="0.3">
      <c r="A105" s="31" t="s">
        <v>14</v>
      </c>
      <c r="B105" s="22">
        <v>250</v>
      </c>
      <c r="C105" s="22">
        <f>B105*100%</f>
        <v>250</v>
      </c>
      <c r="D105" s="22">
        <f>C105*7.9%</f>
        <v>19.75</v>
      </c>
      <c r="E105" s="22">
        <f>C105*1%</f>
        <v>2.5</v>
      </c>
      <c r="F105" s="22">
        <f>C105*49.6%</f>
        <v>124</v>
      </c>
      <c r="G105" s="22">
        <f>4*(D105+F105)+9*E105</f>
        <v>597.5</v>
      </c>
    </row>
    <row r="108" spans="1:7" x14ac:dyDescent="0.3">
      <c r="A108" s="25" t="s">
        <v>136</v>
      </c>
      <c r="B108" s="125">
        <f>C105+B104+250+60</f>
        <v>710</v>
      </c>
      <c r="C108" s="125"/>
      <c r="D108" s="26">
        <f>D105+D104+D89</f>
        <v>54.563980000000001</v>
      </c>
      <c r="E108" s="26">
        <f t="shared" ref="E108:G108" si="6">E105+E104+E89</f>
        <v>36.674050000000001</v>
      </c>
      <c r="F108" s="26">
        <f t="shared" si="6"/>
        <v>185.31120000000001</v>
      </c>
      <c r="G108" s="26">
        <f t="shared" si="6"/>
        <v>1289.56717</v>
      </c>
    </row>
    <row r="111" spans="1:7" x14ac:dyDescent="0.3">
      <c r="A111" s="25" t="s">
        <v>111</v>
      </c>
      <c r="B111" s="141">
        <f>B108+B73+B26</f>
        <v>1870</v>
      </c>
      <c r="C111" s="141"/>
      <c r="D111" s="49">
        <f>D108+D73+D26</f>
        <v>140.27376000000001</v>
      </c>
      <c r="E111" s="49">
        <f>E108+E73+E26</f>
        <v>109.58965000000001</v>
      </c>
      <c r="F111" s="49">
        <f>F108+F73+F26</f>
        <v>387.73310000000004</v>
      </c>
      <c r="G111" s="49">
        <f>G108+G73+G26</f>
        <v>3098.3342899999998</v>
      </c>
    </row>
  </sheetData>
  <mergeCells count="62">
    <mergeCell ref="B26:C26"/>
    <mergeCell ref="A6:G6"/>
    <mergeCell ref="A7:A8"/>
    <mergeCell ref="B7:C7"/>
    <mergeCell ref="D7:D8"/>
    <mergeCell ref="E7:E8"/>
    <mergeCell ref="F7:F8"/>
    <mergeCell ref="B16:C16"/>
    <mergeCell ref="E19:E20"/>
    <mergeCell ref="A93:A94"/>
    <mergeCell ref="B93:C93"/>
    <mergeCell ref="A92:E92"/>
    <mergeCell ref="D93:D94"/>
    <mergeCell ref="E93:E94"/>
    <mergeCell ref="A1:G1"/>
    <mergeCell ref="A30:G30"/>
    <mergeCell ref="F93:F94"/>
    <mergeCell ref="A78:G78"/>
    <mergeCell ref="A79:A80"/>
    <mergeCell ref="B79:C79"/>
    <mergeCell ref="D79:D80"/>
    <mergeCell ref="E79:E80"/>
    <mergeCell ref="F79:F80"/>
    <mergeCell ref="A18:G18"/>
    <mergeCell ref="A19:A20"/>
    <mergeCell ref="B19:C19"/>
    <mergeCell ref="F31:F32"/>
    <mergeCell ref="B37:C37"/>
    <mergeCell ref="A2:G3"/>
    <mergeCell ref="A4:G4"/>
    <mergeCell ref="B111:C111"/>
    <mergeCell ref="B24:C24"/>
    <mergeCell ref="F19:F20"/>
    <mergeCell ref="D19:D20"/>
    <mergeCell ref="B73:C73"/>
    <mergeCell ref="B89:C89"/>
    <mergeCell ref="D31:D32"/>
    <mergeCell ref="E31:E32"/>
    <mergeCell ref="A39:G39"/>
    <mergeCell ref="A40:A41"/>
    <mergeCell ref="D40:D41"/>
    <mergeCell ref="E40:E41"/>
    <mergeCell ref="F40:F41"/>
    <mergeCell ref="B40:C40"/>
    <mergeCell ref="B49:C49"/>
    <mergeCell ref="A31:A32"/>
    <mergeCell ref="B108:C108"/>
    <mergeCell ref="B31:C31"/>
    <mergeCell ref="A59:G59"/>
    <mergeCell ref="A60:A61"/>
    <mergeCell ref="B60:C60"/>
    <mergeCell ref="D60:D61"/>
    <mergeCell ref="E60:E61"/>
    <mergeCell ref="F60:F61"/>
    <mergeCell ref="B68:C68"/>
    <mergeCell ref="B104:C104"/>
    <mergeCell ref="A53:A54"/>
    <mergeCell ref="B53:C53"/>
    <mergeCell ref="D53:D54"/>
    <mergeCell ref="E53:E54"/>
    <mergeCell ref="F53:F54"/>
    <mergeCell ref="B57:C57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view="pageBreakPreview" zoomScale="118" zoomScaleNormal="100" zoomScaleSheetLayoutView="118" workbookViewId="0">
      <selection activeCell="A2" sqref="A2:G3"/>
    </sheetView>
  </sheetViews>
  <sheetFormatPr defaultRowHeight="15" x14ac:dyDescent="0.3"/>
  <cols>
    <col min="1" max="7" width="17.42578125" style="1" customWidth="1"/>
    <col min="8" max="8" width="23.5703125" style="1" customWidth="1"/>
    <col min="9" max="256" width="9.140625" style="1"/>
    <col min="257" max="257" width="34.85546875" style="1" bestFit="1" customWidth="1"/>
    <col min="258" max="258" width="12" style="1" customWidth="1"/>
    <col min="259" max="259" width="12.5703125" style="1" customWidth="1"/>
    <col min="260" max="260" width="12.28515625" style="1" customWidth="1"/>
    <col min="261" max="261" width="11.28515625" style="1" customWidth="1"/>
    <col min="262" max="262" width="16.140625" style="1" customWidth="1"/>
    <col min="263" max="263" width="20.42578125" style="1" customWidth="1"/>
    <col min="264" max="512" width="9.140625" style="1"/>
    <col min="513" max="513" width="34.85546875" style="1" bestFit="1" customWidth="1"/>
    <col min="514" max="514" width="12" style="1" customWidth="1"/>
    <col min="515" max="515" width="12.5703125" style="1" customWidth="1"/>
    <col min="516" max="516" width="12.28515625" style="1" customWidth="1"/>
    <col min="517" max="517" width="11.28515625" style="1" customWidth="1"/>
    <col min="518" max="518" width="16.140625" style="1" customWidth="1"/>
    <col min="519" max="519" width="20.42578125" style="1" customWidth="1"/>
    <col min="520" max="768" width="9.140625" style="1"/>
    <col min="769" max="769" width="34.85546875" style="1" bestFit="1" customWidth="1"/>
    <col min="770" max="770" width="12" style="1" customWidth="1"/>
    <col min="771" max="771" width="12.5703125" style="1" customWidth="1"/>
    <col min="772" max="772" width="12.28515625" style="1" customWidth="1"/>
    <col min="773" max="773" width="11.28515625" style="1" customWidth="1"/>
    <col min="774" max="774" width="16.140625" style="1" customWidth="1"/>
    <col min="775" max="775" width="20.42578125" style="1" customWidth="1"/>
    <col min="776" max="1024" width="9.140625" style="1"/>
    <col min="1025" max="1025" width="34.85546875" style="1" bestFit="1" customWidth="1"/>
    <col min="1026" max="1026" width="12" style="1" customWidth="1"/>
    <col min="1027" max="1027" width="12.5703125" style="1" customWidth="1"/>
    <col min="1028" max="1028" width="12.28515625" style="1" customWidth="1"/>
    <col min="1029" max="1029" width="11.28515625" style="1" customWidth="1"/>
    <col min="1030" max="1030" width="16.140625" style="1" customWidth="1"/>
    <col min="1031" max="1031" width="20.42578125" style="1" customWidth="1"/>
    <col min="1032" max="1280" width="9.140625" style="1"/>
    <col min="1281" max="1281" width="34.85546875" style="1" bestFit="1" customWidth="1"/>
    <col min="1282" max="1282" width="12" style="1" customWidth="1"/>
    <col min="1283" max="1283" width="12.5703125" style="1" customWidth="1"/>
    <col min="1284" max="1284" width="12.28515625" style="1" customWidth="1"/>
    <col min="1285" max="1285" width="11.28515625" style="1" customWidth="1"/>
    <col min="1286" max="1286" width="16.140625" style="1" customWidth="1"/>
    <col min="1287" max="1287" width="20.42578125" style="1" customWidth="1"/>
    <col min="1288" max="1536" width="9.140625" style="1"/>
    <col min="1537" max="1537" width="34.85546875" style="1" bestFit="1" customWidth="1"/>
    <col min="1538" max="1538" width="12" style="1" customWidth="1"/>
    <col min="1539" max="1539" width="12.5703125" style="1" customWidth="1"/>
    <col min="1540" max="1540" width="12.28515625" style="1" customWidth="1"/>
    <col min="1541" max="1541" width="11.28515625" style="1" customWidth="1"/>
    <col min="1542" max="1542" width="16.140625" style="1" customWidth="1"/>
    <col min="1543" max="1543" width="20.42578125" style="1" customWidth="1"/>
    <col min="1544" max="1792" width="9.140625" style="1"/>
    <col min="1793" max="1793" width="34.85546875" style="1" bestFit="1" customWidth="1"/>
    <col min="1794" max="1794" width="12" style="1" customWidth="1"/>
    <col min="1795" max="1795" width="12.5703125" style="1" customWidth="1"/>
    <col min="1796" max="1796" width="12.28515625" style="1" customWidth="1"/>
    <col min="1797" max="1797" width="11.28515625" style="1" customWidth="1"/>
    <col min="1798" max="1798" width="16.140625" style="1" customWidth="1"/>
    <col min="1799" max="1799" width="20.42578125" style="1" customWidth="1"/>
    <col min="1800" max="2048" width="9.140625" style="1"/>
    <col min="2049" max="2049" width="34.85546875" style="1" bestFit="1" customWidth="1"/>
    <col min="2050" max="2050" width="12" style="1" customWidth="1"/>
    <col min="2051" max="2051" width="12.5703125" style="1" customWidth="1"/>
    <col min="2052" max="2052" width="12.28515625" style="1" customWidth="1"/>
    <col min="2053" max="2053" width="11.28515625" style="1" customWidth="1"/>
    <col min="2054" max="2054" width="16.140625" style="1" customWidth="1"/>
    <col min="2055" max="2055" width="20.42578125" style="1" customWidth="1"/>
    <col min="2056" max="2304" width="9.140625" style="1"/>
    <col min="2305" max="2305" width="34.85546875" style="1" bestFit="1" customWidth="1"/>
    <col min="2306" max="2306" width="12" style="1" customWidth="1"/>
    <col min="2307" max="2307" width="12.5703125" style="1" customWidth="1"/>
    <col min="2308" max="2308" width="12.28515625" style="1" customWidth="1"/>
    <col min="2309" max="2309" width="11.28515625" style="1" customWidth="1"/>
    <col min="2310" max="2310" width="16.140625" style="1" customWidth="1"/>
    <col min="2311" max="2311" width="20.42578125" style="1" customWidth="1"/>
    <col min="2312" max="2560" width="9.140625" style="1"/>
    <col min="2561" max="2561" width="34.85546875" style="1" bestFit="1" customWidth="1"/>
    <col min="2562" max="2562" width="12" style="1" customWidth="1"/>
    <col min="2563" max="2563" width="12.5703125" style="1" customWidth="1"/>
    <col min="2564" max="2564" width="12.28515625" style="1" customWidth="1"/>
    <col min="2565" max="2565" width="11.28515625" style="1" customWidth="1"/>
    <col min="2566" max="2566" width="16.140625" style="1" customWidth="1"/>
    <col min="2567" max="2567" width="20.42578125" style="1" customWidth="1"/>
    <col min="2568" max="2816" width="9.140625" style="1"/>
    <col min="2817" max="2817" width="34.85546875" style="1" bestFit="1" customWidth="1"/>
    <col min="2818" max="2818" width="12" style="1" customWidth="1"/>
    <col min="2819" max="2819" width="12.5703125" style="1" customWidth="1"/>
    <col min="2820" max="2820" width="12.28515625" style="1" customWidth="1"/>
    <col min="2821" max="2821" width="11.28515625" style="1" customWidth="1"/>
    <col min="2822" max="2822" width="16.140625" style="1" customWidth="1"/>
    <col min="2823" max="2823" width="20.42578125" style="1" customWidth="1"/>
    <col min="2824" max="3072" width="9.140625" style="1"/>
    <col min="3073" max="3073" width="34.85546875" style="1" bestFit="1" customWidth="1"/>
    <col min="3074" max="3074" width="12" style="1" customWidth="1"/>
    <col min="3075" max="3075" width="12.5703125" style="1" customWidth="1"/>
    <col min="3076" max="3076" width="12.28515625" style="1" customWidth="1"/>
    <col min="3077" max="3077" width="11.28515625" style="1" customWidth="1"/>
    <col min="3078" max="3078" width="16.140625" style="1" customWidth="1"/>
    <col min="3079" max="3079" width="20.42578125" style="1" customWidth="1"/>
    <col min="3080" max="3328" width="9.140625" style="1"/>
    <col min="3329" max="3329" width="34.85546875" style="1" bestFit="1" customWidth="1"/>
    <col min="3330" max="3330" width="12" style="1" customWidth="1"/>
    <col min="3331" max="3331" width="12.5703125" style="1" customWidth="1"/>
    <col min="3332" max="3332" width="12.28515625" style="1" customWidth="1"/>
    <col min="3333" max="3333" width="11.28515625" style="1" customWidth="1"/>
    <col min="3334" max="3334" width="16.140625" style="1" customWidth="1"/>
    <col min="3335" max="3335" width="20.42578125" style="1" customWidth="1"/>
    <col min="3336" max="3584" width="9.140625" style="1"/>
    <col min="3585" max="3585" width="34.85546875" style="1" bestFit="1" customWidth="1"/>
    <col min="3586" max="3586" width="12" style="1" customWidth="1"/>
    <col min="3587" max="3587" width="12.5703125" style="1" customWidth="1"/>
    <col min="3588" max="3588" width="12.28515625" style="1" customWidth="1"/>
    <col min="3589" max="3589" width="11.28515625" style="1" customWidth="1"/>
    <col min="3590" max="3590" width="16.140625" style="1" customWidth="1"/>
    <col min="3591" max="3591" width="20.42578125" style="1" customWidth="1"/>
    <col min="3592" max="3840" width="9.140625" style="1"/>
    <col min="3841" max="3841" width="34.85546875" style="1" bestFit="1" customWidth="1"/>
    <col min="3842" max="3842" width="12" style="1" customWidth="1"/>
    <col min="3843" max="3843" width="12.5703125" style="1" customWidth="1"/>
    <col min="3844" max="3844" width="12.28515625" style="1" customWidth="1"/>
    <col min="3845" max="3845" width="11.28515625" style="1" customWidth="1"/>
    <col min="3846" max="3846" width="16.140625" style="1" customWidth="1"/>
    <col min="3847" max="3847" width="20.42578125" style="1" customWidth="1"/>
    <col min="3848" max="4096" width="9.140625" style="1"/>
    <col min="4097" max="4097" width="34.85546875" style="1" bestFit="1" customWidth="1"/>
    <col min="4098" max="4098" width="12" style="1" customWidth="1"/>
    <col min="4099" max="4099" width="12.5703125" style="1" customWidth="1"/>
    <col min="4100" max="4100" width="12.28515625" style="1" customWidth="1"/>
    <col min="4101" max="4101" width="11.28515625" style="1" customWidth="1"/>
    <col min="4102" max="4102" width="16.140625" style="1" customWidth="1"/>
    <col min="4103" max="4103" width="20.42578125" style="1" customWidth="1"/>
    <col min="4104" max="4352" width="9.140625" style="1"/>
    <col min="4353" max="4353" width="34.85546875" style="1" bestFit="1" customWidth="1"/>
    <col min="4354" max="4354" width="12" style="1" customWidth="1"/>
    <col min="4355" max="4355" width="12.5703125" style="1" customWidth="1"/>
    <col min="4356" max="4356" width="12.28515625" style="1" customWidth="1"/>
    <col min="4357" max="4357" width="11.28515625" style="1" customWidth="1"/>
    <col min="4358" max="4358" width="16.140625" style="1" customWidth="1"/>
    <col min="4359" max="4359" width="20.42578125" style="1" customWidth="1"/>
    <col min="4360" max="4608" width="9.140625" style="1"/>
    <col min="4609" max="4609" width="34.85546875" style="1" bestFit="1" customWidth="1"/>
    <col min="4610" max="4610" width="12" style="1" customWidth="1"/>
    <col min="4611" max="4611" width="12.5703125" style="1" customWidth="1"/>
    <col min="4612" max="4612" width="12.28515625" style="1" customWidth="1"/>
    <col min="4613" max="4613" width="11.28515625" style="1" customWidth="1"/>
    <col min="4614" max="4614" width="16.140625" style="1" customWidth="1"/>
    <col min="4615" max="4615" width="20.42578125" style="1" customWidth="1"/>
    <col min="4616" max="4864" width="9.140625" style="1"/>
    <col min="4865" max="4865" width="34.85546875" style="1" bestFit="1" customWidth="1"/>
    <col min="4866" max="4866" width="12" style="1" customWidth="1"/>
    <col min="4867" max="4867" width="12.5703125" style="1" customWidth="1"/>
    <col min="4868" max="4868" width="12.28515625" style="1" customWidth="1"/>
    <col min="4869" max="4869" width="11.28515625" style="1" customWidth="1"/>
    <col min="4870" max="4870" width="16.140625" style="1" customWidth="1"/>
    <col min="4871" max="4871" width="20.42578125" style="1" customWidth="1"/>
    <col min="4872" max="5120" width="9.140625" style="1"/>
    <col min="5121" max="5121" width="34.85546875" style="1" bestFit="1" customWidth="1"/>
    <col min="5122" max="5122" width="12" style="1" customWidth="1"/>
    <col min="5123" max="5123" width="12.5703125" style="1" customWidth="1"/>
    <col min="5124" max="5124" width="12.28515625" style="1" customWidth="1"/>
    <col min="5125" max="5125" width="11.28515625" style="1" customWidth="1"/>
    <col min="5126" max="5126" width="16.140625" style="1" customWidth="1"/>
    <col min="5127" max="5127" width="20.42578125" style="1" customWidth="1"/>
    <col min="5128" max="5376" width="9.140625" style="1"/>
    <col min="5377" max="5377" width="34.85546875" style="1" bestFit="1" customWidth="1"/>
    <col min="5378" max="5378" width="12" style="1" customWidth="1"/>
    <col min="5379" max="5379" width="12.5703125" style="1" customWidth="1"/>
    <col min="5380" max="5380" width="12.28515625" style="1" customWidth="1"/>
    <col min="5381" max="5381" width="11.28515625" style="1" customWidth="1"/>
    <col min="5382" max="5382" width="16.140625" style="1" customWidth="1"/>
    <col min="5383" max="5383" width="20.42578125" style="1" customWidth="1"/>
    <col min="5384" max="5632" width="9.140625" style="1"/>
    <col min="5633" max="5633" width="34.85546875" style="1" bestFit="1" customWidth="1"/>
    <col min="5634" max="5634" width="12" style="1" customWidth="1"/>
    <col min="5635" max="5635" width="12.5703125" style="1" customWidth="1"/>
    <col min="5636" max="5636" width="12.28515625" style="1" customWidth="1"/>
    <col min="5637" max="5637" width="11.28515625" style="1" customWidth="1"/>
    <col min="5638" max="5638" width="16.140625" style="1" customWidth="1"/>
    <col min="5639" max="5639" width="20.42578125" style="1" customWidth="1"/>
    <col min="5640" max="5888" width="9.140625" style="1"/>
    <col min="5889" max="5889" width="34.85546875" style="1" bestFit="1" customWidth="1"/>
    <col min="5890" max="5890" width="12" style="1" customWidth="1"/>
    <col min="5891" max="5891" width="12.5703125" style="1" customWidth="1"/>
    <col min="5892" max="5892" width="12.28515625" style="1" customWidth="1"/>
    <col min="5893" max="5893" width="11.28515625" style="1" customWidth="1"/>
    <col min="5894" max="5894" width="16.140625" style="1" customWidth="1"/>
    <col min="5895" max="5895" width="20.42578125" style="1" customWidth="1"/>
    <col min="5896" max="6144" width="9.140625" style="1"/>
    <col min="6145" max="6145" width="34.85546875" style="1" bestFit="1" customWidth="1"/>
    <col min="6146" max="6146" width="12" style="1" customWidth="1"/>
    <col min="6147" max="6147" width="12.5703125" style="1" customWidth="1"/>
    <col min="6148" max="6148" width="12.28515625" style="1" customWidth="1"/>
    <col min="6149" max="6149" width="11.28515625" style="1" customWidth="1"/>
    <col min="6150" max="6150" width="16.140625" style="1" customWidth="1"/>
    <col min="6151" max="6151" width="20.42578125" style="1" customWidth="1"/>
    <col min="6152" max="6400" width="9.140625" style="1"/>
    <col min="6401" max="6401" width="34.85546875" style="1" bestFit="1" customWidth="1"/>
    <col min="6402" max="6402" width="12" style="1" customWidth="1"/>
    <col min="6403" max="6403" width="12.5703125" style="1" customWidth="1"/>
    <col min="6404" max="6404" width="12.28515625" style="1" customWidth="1"/>
    <col min="6405" max="6405" width="11.28515625" style="1" customWidth="1"/>
    <col min="6406" max="6406" width="16.140625" style="1" customWidth="1"/>
    <col min="6407" max="6407" width="20.42578125" style="1" customWidth="1"/>
    <col min="6408" max="6656" width="9.140625" style="1"/>
    <col min="6657" max="6657" width="34.85546875" style="1" bestFit="1" customWidth="1"/>
    <col min="6658" max="6658" width="12" style="1" customWidth="1"/>
    <col min="6659" max="6659" width="12.5703125" style="1" customWidth="1"/>
    <col min="6660" max="6660" width="12.28515625" style="1" customWidth="1"/>
    <col min="6661" max="6661" width="11.28515625" style="1" customWidth="1"/>
    <col min="6662" max="6662" width="16.140625" style="1" customWidth="1"/>
    <col min="6663" max="6663" width="20.42578125" style="1" customWidth="1"/>
    <col min="6664" max="6912" width="9.140625" style="1"/>
    <col min="6913" max="6913" width="34.85546875" style="1" bestFit="1" customWidth="1"/>
    <col min="6914" max="6914" width="12" style="1" customWidth="1"/>
    <col min="6915" max="6915" width="12.5703125" style="1" customWidth="1"/>
    <col min="6916" max="6916" width="12.28515625" style="1" customWidth="1"/>
    <col min="6917" max="6917" width="11.28515625" style="1" customWidth="1"/>
    <col min="6918" max="6918" width="16.140625" style="1" customWidth="1"/>
    <col min="6919" max="6919" width="20.42578125" style="1" customWidth="1"/>
    <col min="6920" max="7168" width="9.140625" style="1"/>
    <col min="7169" max="7169" width="34.85546875" style="1" bestFit="1" customWidth="1"/>
    <col min="7170" max="7170" width="12" style="1" customWidth="1"/>
    <col min="7171" max="7171" width="12.5703125" style="1" customWidth="1"/>
    <col min="7172" max="7172" width="12.28515625" style="1" customWidth="1"/>
    <col min="7173" max="7173" width="11.28515625" style="1" customWidth="1"/>
    <col min="7174" max="7174" width="16.140625" style="1" customWidth="1"/>
    <col min="7175" max="7175" width="20.42578125" style="1" customWidth="1"/>
    <col min="7176" max="7424" width="9.140625" style="1"/>
    <col min="7425" max="7425" width="34.85546875" style="1" bestFit="1" customWidth="1"/>
    <col min="7426" max="7426" width="12" style="1" customWidth="1"/>
    <col min="7427" max="7427" width="12.5703125" style="1" customWidth="1"/>
    <col min="7428" max="7428" width="12.28515625" style="1" customWidth="1"/>
    <col min="7429" max="7429" width="11.28515625" style="1" customWidth="1"/>
    <col min="7430" max="7430" width="16.140625" style="1" customWidth="1"/>
    <col min="7431" max="7431" width="20.42578125" style="1" customWidth="1"/>
    <col min="7432" max="7680" width="9.140625" style="1"/>
    <col min="7681" max="7681" width="34.85546875" style="1" bestFit="1" customWidth="1"/>
    <col min="7682" max="7682" width="12" style="1" customWidth="1"/>
    <col min="7683" max="7683" width="12.5703125" style="1" customWidth="1"/>
    <col min="7684" max="7684" width="12.28515625" style="1" customWidth="1"/>
    <col min="7685" max="7685" width="11.28515625" style="1" customWidth="1"/>
    <col min="7686" max="7686" width="16.140625" style="1" customWidth="1"/>
    <col min="7687" max="7687" width="20.42578125" style="1" customWidth="1"/>
    <col min="7688" max="7936" width="9.140625" style="1"/>
    <col min="7937" max="7937" width="34.85546875" style="1" bestFit="1" customWidth="1"/>
    <col min="7938" max="7938" width="12" style="1" customWidth="1"/>
    <col min="7939" max="7939" width="12.5703125" style="1" customWidth="1"/>
    <col min="7940" max="7940" width="12.28515625" style="1" customWidth="1"/>
    <col min="7941" max="7941" width="11.28515625" style="1" customWidth="1"/>
    <col min="7942" max="7942" width="16.140625" style="1" customWidth="1"/>
    <col min="7943" max="7943" width="20.42578125" style="1" customWidth="1"/>
    <col min="7944" max="8192" width="9.140625" style="1"/>
    <col min="8193" max="8193" width="34.85546875" style="1" bestFit="1" customWidth="1"/>
    <col min="8194" max="8194" width="12" style="1" customWidth="1"/>
    <col min="8195" max="8195" width="12.5703125" style="1" customWidth="1"/>
    <col min="8196" max="8196" width="12.28515625" style="1" customWidth="1"/>
    <col min="8197" max="8197" width="11.28515625" style="1" customWidth="1"/>
    <col min="8198" max="8198" width="16.140625" style="1" customWidth="1"/>
    <col min="8199" max="8199" width="20.42578125" style="1" customWidth="1"/>
    <col min="8200" max="8448" width="9.140625" style="1"/>
    <col min="8449" max="8449" width="34.85546875" style="1" bestFit="1" customWidth="1"/>
    <col min="8450" max="8450" width="12" style="1" customWidth="1"/>
    <col min="8451" max="8451" width="12.5703125" style="1" customWidth="1"/>
    <col min="8452" max="8452" width="12.28515625" style="1" customWidth="1"/>
    <col min="8453" max="8453" width="11.28515625" style="1" customWidth="1"/>
    <col min="8454" max="8454" width="16.140625" style="1" customWidth="1"/>
    <col min="8455" max="8455" width="20.42578125" style="1" customWidth="1"/>
    <col min="8456" max="8704" width="9.140625" style="1"/>
    <col min="8705" max="8705" width="34.85546875" style="1" bestFit="1" customWidth="1"/>
    <col min="8706" max="8706" width="12" style="1" customWidth="1"/>
    <col min="8707" max="8707" width="12.5703125" style="1" customWidth="1"/>
    <col min="8708" max="8708" width="12.28515625" style="1" customWidth="1"/>
    <col min="8709" max="8709" width="11.28515625" style="1" customWidth="1"/>
    <col min="8710" max="8710" width="16.140625" style="1" customWidth="1"/>
    <col min="8711" max="8711" width="20.42578125" style="1" customWidth="1"/>
    <col min="8712" max="8960" width="9.140625" style="1"/>
    <col min="8961" max="8961" width="34.85546875" style="1" bestFit="1" customWidth="1"/>
    <col min="8962" max="8962" width="12" style="1" customWidth="1"/>
    <col min="8963" max="8963" width="12.5703125" style="1" customWidth="1"/>
    <col min="8964" max="8964" width="12.28515625" style="1" customWidth="1"/>
    <col min="8965" max="8965" width="11.28515625" style="1" customWidth="1"/>
    <col min="8966" max="8966" width="16.140625" style="1" customWidth="1"/>
    <col min="8967" max="8967" width="20.42578125" style="1" customWidth="1"/>
    <col min="8968" max="9216" width="9.140625" style="1"/>
    <col min="9217" max="9217" width="34.85546875" style="1" bestFit="1" customWidth="1"/>
    <col min="9218" max="9218" width="12" style="1" customWidth="1"/>
    <col min="9219" max="9219" width="12.5703125" style="1" customWidth="1"/>
    <col min="9220" max="9220" width="12.28515625" style="1" customWidth="1"/>
    <col min="9221" max="9221" width="11.28515625" style="1" customWidth="1"/>
    <col min="9222" max="9222" width="16.140625" style="1" customWidth="1"/>
    <col min="9223" max="9223" width="20.42578125" style="1" customWidth="1"/>
    <col min="9224" max="9472" width="9.140625" style="1"/>
    <col min="9473" max="9473" width="34.85546875" style="1" bestFit="1" customWidth="1"/>
    <col min="9474" max="9474" width="12" style="1" customWidth="1"/>
    <col min="9475" max="9475" width="12.5703125" style="1" customWidth="1"/>
    <col min="9476" max="9476" width="12.28515625" style="1" customWidth="1"/>
    <col min="9477" max="9477" width="11.28515625" style="1" customWidth="1"/>
    <col min="9478" max="9478" width="16.140625" style="1" customWidth="1"/>
    <col min="9479" max="9479" width="20.42578125" style="1" customWidth="1"/>
    <col min="9480" max="9728" width="9.140625" style="1"/>
    <col min="9729" max="9729" width="34.85546875" style="1" bestFit="1" customWidth="1"/>
    <col min="9730" max="9730" width="12" style="1" customWidth="1"/>
    <col min="9731" max="9731" width="12.5703125" style="1" customWidth="1"/>
    <col min="9732" max="9732" width="12.28515625" style="1" customWidth="1"/>
    <col min="9733" max="9733" width="11.28515625" style="1" customWidth="1"/>
    <col min="9734" max="9734" width="16.140625" style="1" customWidth="1"/>
    <col min="9735" max="9735" width="20.42578125" style="1" customWidth="1"/>
    <col min="9736" max="9984" width="9.140625" style="1"/>
    <col min="9985" max="9985" width="34.85546875" style="1" bestFit="1" customWidth="1"/>
    <col min="9986" max="9986" width="12" style="1" customWidth="1"/>
    <col min="9987" max="9987" width="12.5703125" style="1" customWidth="1"/>
    <col min="9988" max="9988" width="12.28515625" style="1" customWidth="1"/>
    <col min="9989" max="9989" width="11.28515625" style="1" customWidth="1"/>
    <col min="9990" max="9990" width="16.140625" style="1" customWidth="1"/>
    <col min="9991" max="9991" width="20.42578125" style="1" customWidth="1"/>
    <col min="9992" max="10240" width="9.140625" style="1"/>
    <col min="10241" max="10241" width="34.85546875" style="1" bestFit="1" customWidth="1"/>
    <col min="10242" max="10242" width="12" style="1" customWidth="1"/>
    <col min="10243" max="10243" width="12.5703125" style="1" customWidth="1"/>
    <col min="10244" max="10244" width="12.28515625" style="1" customWidth="1"/>
    <col min="10245" max="10245" width="11.28515625" style="1" customWidth="1"/>
    <col min="10246" max="10246" width="16.140625" style="1" customWidth="1"/>
    <col min="10247" max="10247" width="20.42578125" style="1" customWidth="1"/>
    <col min="10248" max="10496" width="9.140625" style="1"/>
    <col min="10497" max="10497" width="34.85546875" style="1" bestFit="1" customWidth="1"/>
    <col min="10498" max="10498" width="12" style="1" customWidth="1"/>
    <col min="10499" max="10499" width="12.5703125" style="1" customWidth="1"/>
    <col min="10500" max="10500" width="12.28515625" style="1" customWidth="1"/>
    <col min="10501" max="10501" width="11.28515625" style="1" customWidth="1"/>
    <col min="10502" max="10502" width="16.140625" style="1" customWidth="1"/>
    <col min="10503" max="10503" width="20.42578125" style="1" customWidth="1"/>
    <col min="10504" max="10752" width="9.140625" style="1"/>
    <col min="10753" max="10753" width="34.85546875" style="1" bestFit="1" customWidth="1"/>
    <col min="10754" max="10754" width="12" style="1" customWidth="1"/>
    <col min="10755" max="10755" width="12.5703125" style="1" customWidth="1"/>
    <col min="10756" max="10756" width="12.28515625" style="1" customWidth="1"/>
    <col min="10757" max="10757" width="11.28515625" style="1" customWidth="1"/>
    <col min="10758" max="10758" width="16.140625" style="1" customWidth="1"/>
    <col min="10759" max="10759" width="20.42578125" style="1" customWidth="1"/>
    <col min="10760" max="11008" width="9.140625" style="1"/>
    <col min="11009" max="11009" width="34.85546875" style="1" bestFit="1" customWidth="1"/>
    <col min="11010" max="11010" width="12" style="1" customWidth="1"/>
    <col min="11011" max="11011" width="12.5703125" style="1" customWidth="1"/>
    <col min="11012" max="11012" width="12.28515625" style="1" customWidth="1"/>
    <col min="11013" max="11013" width="11.28515625" style="1" customWidth="1"/>
    <col min="11014" max="11014" width="16.140625" style="1" customWidth="1"/>
    <col min="11015" max="11015" width="20.42578125" style="1" customWidth="1"/>
    <col min="11016" max="11264" width="9.140625" style="1"/>
    <col min="11265" max="11265" width="34.85546875" style="1" bestFit="1" customWidth="1"/>
    <col min="11266" max="11266" width="12" style="1" customWidth="1"/>
    <col min="11267" max="11267" width="12.5703125" style="1" customWidth="1"/>
    <col min="11268" max="11268" width="12.28515625" style="1" customWidth="1"/>
    <col min="11269" max="11269" width="11.28515625" style="1" customWidth="1"/>
    <col min="11270" max="11270" width="16.140625" style="1" customWidth="1"/>
    <col min="11271" max="11271" width="20.42578125" style="1" customWidth="1"/>
    <col min="11272" max="11520" width="9.140625" style="1"/>
    <col min="11521" max="11521" width="34.85546875" style="1" bestFit="1" customWidth="1"/>
    <col min="11522" max="11522" width="12" style="1" customWidth="1"/>
    <col min="11523" max="11523" width="12.5703125" style="1" customWidth="1"/>
    <col min="11524" max="11524" width="12.28515625" style="1" customWidth="1"/>
    <col min="11525" max="11525" width="11.28515625" style="1" customWidth="1"/>
    <col min="11526" max="11526" width="16.140625" style="1" customWidth="1"/>
    <col min="11527" max="11527" width="20.42578125" style="1" customWidth="1"/>
    <col min="11528" max="11776" width="9.140625" style="1"/>
    <col min="11777" max="11777" width="34.85546875" style="1" bestFit="1" customWidth="1"/>
    <col min="11778" max="11778" width="12" style="1" customWidth="1"/>
    <col min="11779" max="11779" width="12.5703125" style="1" customWidth="1"/>
    <col min="11780" max="11780" width="12.28515625" style="1" customWidth="1"/>
    <col min="11781" max="11781" width="11.28515625" style="1" customWidth="1"/>
    <col min="11782" max="11782" width="16.140625" style="1" customWidth="1"/>
    <col min="11783" max="11783" width="20.42578125" style="1" customWidth="1"/>
    <col min="11784" max="12032" width="9.140625" style="1"/>
    <col min="12033" max="12033" width="34.85546875" style="1" bestFit="1" customWidth="1"/>
    <col min="12034" max="12034" width="12" style="1" customWidth="1"/>
    <col min="12035" max="12035" width="12.5703125" style="1" customWidth="1"/>
    <col min="12036" max="12036" width="12.28515625" style="1" customWidth="1"/>
    <col min="12037" max="12037" width="11.28515625" style="1" customWidth="1"/>
    <col min="12038" max="12038" width="16.140625" style="1" customWidth="1"/>
    <col min="12039" max="12039" width="20.42578125" style="1" customWidth="1"/>
    <col min="12040" max="12288" width="9.140625" style="1"/>
    <col min="12289" max="12289" width="34.85546875" style="1" bestFit="1" customWidth="1"/>
    <col min="12290" max="12290" width="12" style="1" customWidth="1"/>
    <col min="12291" max="12291" width="12.5703125" style="1" customWidth="1"/>
    <col min="12292" max="12292" width="12.28515625" style="1" customWidth="1"/>
    <col min="12293" max="12293" width="11.28515625" style="1" customWidth="1"/>
    <col min="12294" max="12294" width="16.140625" style="1" customWidth="1"/>
    <col min="12295" max="12295" width="20.42578125" style="1" customWidth="1"/>
    <col min="12296" max="12544" width="9.140625" style="1"/>
    <col min="12545" max="12545" width="34.85546875" style="1" bestFit="1" customWidth="1"/>
    <col min="12546" max="12546" width="12" style="1" customWidth="1"/>
    <col min="12547" max="12547" width="12.5703125" style="1" customWidth="1"/>
    <col min="12548" max="12548" width="12.28515625" style="1" customWidth="1"/>
    <col min="12549" max="12549" width="11.28515625" style="1" customWidth="1"/>
    <col min="12550" max="12550" width="16.140625" style="1" customWidth="1"/>
    <col min="12551" max="12551" width="20.42578125" style="1" customWidth="1"/>
    <col min="12552" max="12800" width="9.140625" style="1"/>
    <col min="12801" max="12801" width="34.85546875" style="1" bestFit="1" customWidth="1"/>
    <col min="12802" max="12802" width="12" style="1" customWidth="1"/>
    <col min="12803" max="12803" width="12.5703125" style="1" customWidth="1"/>
    <col min="12804" max="12804" width="12.28515625" style="1" customWidth="1"/>
    <col min="12805" max="12805" width="11.28515625" style="1" customWidth="1"/>
    <col min="12806" max="12806" width="16.140625" style="1" customWidth="1"/>
    <col min="12807" max="12807" width="20.42578125" style="1" customWidth="1"/>
    <col min="12808" max="13056" width="9.140625" style="1"/>
    <col min="13057" max="13057" width="34.85546875" style="1" bestFit="1" customWidth="1"/>
    <col min="13058" max="13058" width="12" style="1" customWidth="1"/>
    <col min="13059" max="13059" width="12.5703125" style="1" customWidth="1"/>
    <col min="13060" max="13060" width="12.28515625" style="1" customWidth="1"/>
    <col min="13061" max="13061" width="11.28515625" style="1" customWidth="1"/>
    <col min="13062" max="13062" width="16.140625" style="1" customWidth="1"/>
    <col min="13063" max="13063" width="20.42578125" style="1" customWidth="1"/>
    <col min="13064" max="13312" width="9.140625" style="1"/>
    <col min="13313" max="13313" width="34.85546875" style="1" bestFit="1" customWidth="1"/>
    <col min="13314" max="13314" width="12" style="1" customWidth="1"/>
    <col min="13315" max="13315" width="12.5703125" style="1" customWidth="1"/>
    <col min="13316" max="13316" width="12.28515625" style="1" customWidth="1"/>
    <col min="13317" max="13317" width="11.28515625" style="1" customWidth="1"/>
    <col min="13318" max="13318" width="16.140625" style="1" customWidth="1"/>
    <col min="13319" max="13319" width="20.42578125" style="1" customWidth="1"/>
    <col min="13320" max="13568" width="9.140625" style="1"/>
    <col min="13569" max="13569" width="34.85546875" style="1" bestFit="1" customWidth="1"/>
    <col min="13570" max="13570" width="12" style="1" customWidth="1"/>
    <col min="13571" max="13571" width="12.5703125" style="1" customWidth="1"/>
    <col min="13572" max="13572" width="12.28515625" style="1" customWidth="1"/>
    <col min="13573" max="13573" width="11.28515625" style="1" customWidth="1"/>
    <col min="13574" max="13574" width="16.140625" style="1" customWidth="1"/>
    <col min="13575" max="13575" width="20.42578125" style="1" customWidth="1"/>
    <col min="13576" max="13824" width="9.140625" style="1"/>
    <col min="13825" max="13825" width="34.85546875" style="1" bestFit="1" customWidth="1"/>
    <col min="13826" max="13826" width="12" style="1" customWidth="1"/>
    <col min="13827" max="13827" width="12.5703125" style="1" customWidth="1"/>
    <col min="13828" max="13828" width="12.28515625" style="1" customWidth="1"/>
    <col min="13829" max="13829" width="11.28515625" style="1" customWidth="1"/>
    <col min="13830" max="13830" width="16.140625" style="1" customWidth="1"/>
    <col min="13831" max="13831" width="20.42578125" style="1" customWidth="1"/>
    <col min="13832" max="14080" width="9.140625" style="1"/>
    <col min="14081" max="14081" width="34.85546875" style="1" bestFit="1" customWidth="1"/>
    <col min="14082" max="14082" width="12" style="1" customWidth="1"/>
    <col min="14083" max="14083" width="12.5703125" style="1" customWidth="1"/>
    <col min="14084" max="14084" width="12.28515625" style="1" customWidth="1"/>
    <col min="14085" max="14085" width="11.28515625" style="1" customWidth="1"/>
    <col min="14086" max="14086" width="16.140625" style="1" customWidth="1"/>
    <col min="14087" max="14087" width="20.42578125" style="1" customWidth="1"/>
    <col min="14088" max="14336" width="9.140625" style="1"/>
    <col min="14337" max="14337" width="34.85546875" style="1" bestFit="1" customWidth="1"/>
    <col min="14338" max="14338" width="12" style="1" customWidth="1"/>
    <col min="14339" max="14339" width="12.5703125" style="1" customWidth="1"/>
    <col min="14340" max="14340" width="12.28515625" style="1" customWidth="1"/>
    <col min="14341" max="14341" width="11.28515625" style="1" customWidth="1"/>
    <col min="14342" max="14342" width="16.140625" style="1" customWidth="1"/>
    <col min="14343" max="14343" width="20.42578125" style="1" customWidth="1"/>
    <col min="14344" max="14592" width="9.140625" style="1"/>
    <col min="14593" max="14593" width="34.85546875" style="1" bestFit="1" customWidth="1"/>
    <col min="14594" max="14594" width="12" style="1" customWidth="1"/>
    <col min="14595" max="14595" width="12.5703125" style="1" customWidth="1"/>
    <col min="14596" max="14596" width="12.28515625" style="1" customWidth="1"/>
    <col min="14597" max="14597" width="11.28515625" style="1" customWidth="1"/>
    <col min="14598" max="14598" width="16.140625" style="1" customWidth="1"/>
    <col min="14599" max="14599" width="20.42578125" style="1" customWidth="1"/>
    <col min="14600" max="14848" width="9.140625" style="1"/>
    <col min="14849" max="14849" width="34.85546875" style="1" bestFit="1" customWidth="1"/>
    <col min="14850" max="14850" width="12" style="1" customWidth="1"/>
    <col min="14851" max="14851" width="12.5703125" style="1" customWidth="1"/>
    <col min="14852" max="14852" width="12.28515625" style="1" customWidth="1"/>
    <col min="14853" max="14853" width="11.28515625" style="1" customWidth="1"/>
    <col min="14854" max="14854" width="16.140625" style="1" customWidth="1"/>
    <col min="14855" max="14855" width="20.42578125" style="1" customWidth="1"/>
    <col min="14856" max="15104" width="9.140625" style="1"/>
    <col min="15105" max="15105" width="34.85546875" style="1" bestFit="1" customWidth="1"/>
    <col min="15106" max="15106" width="12" style="1" customWidth="1"/>
    <col min="15107" max="15107" width="12.5703125" style="1" customWidth="1"/>
    <col min="15108" max="15108" width="12.28515625" style="1" customWidth="1"/>
    <col min="15109" max="15109" width="11.28515625" style="1" customWidth="1"/>
    <col min="15110" max="15110" width="16.140625" style="1" customWidth="1"/>
    <col min="15111" max="15111" width="20.42578125" style="1" customWidth="1"/>
    <col min="15112" max="15360" width="9.140625" style="1"/>
    <col min="15361" max="15361" width="34.85546875" style="1" bestFit="1" customWidth="1"/>
    <col min="15362" max="15362" width="12" style="1" customWidth="1"/>
    <col min="15363" max="15363" width="12.5703125" style="1" customWidth="1"/>
    <col min="15364" max="15364" width="12.28515625" style="1" customWidth="1"/>
    <col min="15365" max="15365" width="11.28515625" style="1" customWidth="1"/>
    <col min="15366" max="15366" width="16.140625" style="1" customWidth="1"/>
    <col min="15367" max="15367" width="20.42578125" style="1" customWidth="1"/>
    <col min="15368" max="15616" width="9.140625" style="1"/>
    <col min="15617" max="15617" width="34.85546875" style="1" bestFit="1" customWidth="1"/>
    <col min="15618" max="15618" width="12" style="1" customWidth="1"/>
    <col min="15619" max="15619" width="12.5703125" style="1" customWidth="1"/>
    <col min="15620" max="15620" width="12.28515625" style="1" customWidth="1"/>
    <col min="15621" max="15621" width="11.28515625" style="1" customWidth="1"/>
    <col min="15622" max="15622" width="16.140625" style="1" customWidth="1"/>
    <col min="15623" max="15623" width="20.42578125" style="1" customWidth="1"/>
    <col min="15624" max="15872" width="9.140625" style="1"/>
    <col min="15873" max="15873" width="34.85546875" style="1" bestFit="1" customWidth="1"/>
    <col min="15874" max="15874" width="12" style="1" customWidth="1"/>
    <col min="15875" max="15875" width="12.5703125" style="1" customWidth="1"/>
    <col min="15876" max="15876" width="12.28515625" style="1" customWidth="1"/>
    <col min="15877" max="15877" width="11.28515625" style="1" customWidth="1"/>
    <col min="15878" max="15878" width="16.140625" style="1" customWidth="1"/>
    <col min="15879" max="15879" width="20.42578125" style="1" customWidth="1"/>
    <col min="15880" max="16128" width="9.140625" style="1"/>
    <col min="16129" max="16129" width="34.85546875" style="1" bestFit="1" customWidth="1"/>
    <col min="16130" max="16130" width="12" style="1" customWidth="1"/>
    <col min="16131" max="16131" width="12.5703125" style="1" customWidth="1"/>
    <col min="16132" max="16132" width="12.28515625" style="1" customWidth="1"/>
    <col min="16133" max="16133" width="11.28515625" style="1" customWidth="1"/>
    <col min="16134" max="16134" width="16.140625" style="1" customWidth="1"/>
    <col min="16135" max="16135" width="20.42578125" style="1" customWidth="1"/>
    <col min="16136" max="16384" width="9.140625" style="1"/>
  </cols>
  <sheetData>
    <row r="1" spans="1:7" x14ac:dyDescent="0.3">
      <c r="A1" s="145" t="s">
        <v>113</v>
      </c>
      <c r="B1" s="145"/>
      <c r="C1" s="145"/>
      <c r="D1" s="145"/>
      <c r="E1" s="145"/>
      <c r="F1" s="145"/>
      <c r="G1" s="145"/>
    </row>
    <row r="2" spans="1:7" ht="60.75" customHeight="1" x14ac:dyDescent="0.3">
      <c r="A2" s="146" t="s">
        <v>137</v>
      </c>
      <c r="B2" s="146"/>
      <c r="C2" s="146"/>
      <c r="D2" s="146"/>
      <c r="E2" s="146"/>
      <c r="F2" s="146"/>
      <c r="G2" s="146"/>
    </row>
    <row r="3" spans="1:7" ht="51" customHeight="1" x14ac:dyDescent="0.3">
      <c r="A3" s="146"/>
      <c r="B3" s="146"/>
      <c r="C3" s="146"/>
      <c r="D3" s="146"/>
      <c r="E3" s="146"/>
      <c r="F3" s="146"/>
      <c r="G3" s="146"/>
    </row>
    <row r="4" spans="1:7" ht="16.5" customHeight="1" x14ac:dyDescent="0.3">
      <c r="A4" s="146" t="s">
        <v>28</v>
      </c>
      <c r="B4" s="146"/>
      <c r="C4" s="146"/>
      <c r="D4" s="146"/>
      <c r="E4" s="146"/>
      <c r="F4" s="146"/>
      <c r="G4" s="146"/>
    </row>
    <row r="5" spans="1:7" x14ac:dyDescent="0.3">
      <c r="A5" s="50" t="s">
        <v>109</v>
      </c>
    </row>
    <row r="7" spans="1:7" x14ac:dyDescent="0.3">
      <c r="A7" s="32" t="s">
        <v>61</v>
      </c>
    </row>
    <row r="8" spans="1:7" ht="30" x14ac:dyDescent="0.3">
      <c r="A8" s="126" t="s">
        <v>0</v>
      </c>
      <c r="B8" s="126" t="s">
        <v>1</v>
      </c>
      <c r="C8" s="126"/>
      <c r="D8" s="138" t="s">
        <v>2</v>
      </c>
      <c r="E8" s="138" t="s">
        <v>3</v>
      </c>
      <c r="F8" s="126" t="s">
        <v>4</v>
      </c>
      <c r="G8" s="17" t="s">
        <v>5</v>
      </c>
    </row>
    <row r="9" spans="1:7" x14ac:dyDescent="0.3">
      <c r="A9" s="126"/>
      <c r="B9" s="17" t="s">
        <v>6</v>
      </c>
      <c r="C9" s="17" t="s">
        <v>7</v>
      </c>
      <c r="D9" s="131"/>
      <c r="E9" s="131"/>
      <c r="F9" s="126"/>
      <c r="G9" s="17" t="s">
        <v>8</v>
      </c>
    </row>
    <row r="10" spans="1:7" x14ac:dyDescent="0.3">
      <c r="A10" s="19" t="s">
        <v>62</v>
      </c>
      <c r="B10" s="35">
        <v>80</v>
      </c>
      <c r="C10" s="35">
        <f>B10*100%</f>
        <v>80</v>
      </c>
      <c r="D10" s="35">
        <f>C10*10%</f>
        <v>8</v>
      </c>
      <c r="E10" s="35">
        <f>C10*1.3%</f>
        <v>1.04</v>
      </c>
      <c r="F10" s="35">
        <f>C10*69%</f>
        <v>55.199999999999996</v>
      </c>
      <c r="G10" s="35">
        <f t="shared" ref="G10:G15" si="0">4*(D10+F10)+9*E10</f>
        <v>262.15999999999997</v>
      </c>
    </row>
    <row r="11" spans="1:7" x14ac:dyDescent="0.3">
      <c r="A11" s="19" t="s">
        <v>63</v>
      </c>
      <c r="B11" s="35">
        <v>72</v>
      </c>
      <c r="C11" s="35">
        <f>80%*B11</f>
        <v>57.6</v>
      </c>
      <c r="D11" s="35">
        <f>17.9%*C11</f>
        <v>10.3104</v>
      </c>
      <c r="E11" s="35">
        <f>14.3%*C11</f>
        <v>8.2368000000000006</v>
      </c>
      <c r="F11" s="35"/>
      <c r="G11" s="35">
        <f t="shared" si="0"/>
        <v>115.37280000000001</v>
      </c>
    </row>
    <row r="12" spans="1:7" x14ac:dyDescent="0.3">
      <c r="A12" s="19" t="s">
        <v>64</v>
      </c>
      <c r="B12" s="35">
        <v>0.25</v>
      </c>
      <c r="C12" s="35">
        <f>B12*48</f>
        <v>12</v>
      </c>
      <c r="D12" s="35">
        <f>12.7%*C12</f>
        <v>1.524</v>
      </c>
      <c r="E12" s="35">
        <f>11.5%*C12</f>
        <v>1.3800000000000001</v>
      </c>
      <c r="F12" s="35"/>
      <c r="G12" s="35">
        <f t="shared" si="0"/>
        <v>18.516000000000002</v>
      </c>
    </row>
    <row r="13" spans="1:7" x14ac:dyDescent="0.3">
      <c r="A13" s="19" t="s">
        <v>41</v>
      </c>
      <c r="B13" s="35">
        <v>1</v>
      </c>
      <c r="C13" s="35">
        <f>100%*B13</f>
        <v>1</v>
      </c>
      <c r="D13" s="35"/>
      <c r="E13" s="35"/>
      <c r="F13" s="35"/>
      <c r="G13" s="35">
        <f t="shared" si="0"/>
        <v>0</v>
      </c>
    </row>
    <row r="14" spans="1:7" x14ac:dyDescent="0.3">
      <c r="A14" s="19" t="s">
        <v>65</v>
      </c>
      <c r="B14" s="35">
        <v>5</v>
      </c>
      <c r="C14" s="35">
        <f>100%*B14</f>
        <v>5</v>
      </c>
      <c r="D14" s="35"/>
      <c r="E14" s="35">
        <f>72.57%*C14</f>
        <v>3.6284999999999994</v>
      </c>
      <c r="F14" s="35"/>
      <c r="G14" s="35">
        <f t="shared" si="0"/>
        <v>32.656499999999994</v>
      </c>
    </row>
    <row r="15" spans="1:7" x14ac:dyDescent="0.3">
      <c r="A15" s="19" t="s">
        <v>11</v>
      </c>
      <c r="B15" s="35">
        <v>1</v>
      </c>
      <c r="C15" s="35">
        <f>100%*B15</f>
        <v>1</v>
      </c>
      <c r="D15" s="35"/>
      <c r="E15" s="35"/>
      <c r="F15" s="35"/>
      <c r="G15" s="35">
        <f t="shared" si="0"/>
        <v>0</v>
      </c>
    </row>
    <row r="16" spans="1:7" x14ac:dyDescent="0.3">
      <c r="A16" s="17" t="s">
        <v>13</v>
      </c>
      <c r="B16" s="134">
        <v>160</v>
      </c>
      <c r="C16" s="135"/>
      <c r="D16" s="38">
        <f>SUM(D10:D15)</f>
        <v>19.834400000000002</v>
      </c>
      <c r="E16" s="38">
        <f>SUM(E10:E15)</f>
        <v>14.285300000000001</v>
      </c>
      <c r="F16" s="38">
        <f>SUM(F10:F15)</f>
        <v>55.199999999999996</v>
      </c>
      <c r="G16" s="38">
        <f>SUM(G10:G15)</f>
        <v>428.70529999999997</v>
      </c>
    </row>
    <row r="18" spans="1:7" x14ac:dyDescent="0.3">
      <c r="A18" s="155" t="s">
        <v>47</v>
      </c>
      <c r="B18" s="155"/>
      <c r="C18" s="155"/>
      <c r="D18" s="155"/>
      <c r="E18" s="155"/>
      <c r="F18" s="155"/>
      <c r="G18" s="155"/>
    </row>
    <row r="19" spans="1:7" ht="30" x14ac:dyDescent="0.3">
      <c r="A19" s="126" t="s">
        <v>0</v>
      </c>
      <c r="B19" s="126" t="s">
        <v>1</v>
      </c>
      <c r="C19" s="126"/>
      <c r="D19" s="138" t="s">
        <v>2</v>
      </c>
      <c r="E19" s="138" t="s">
        <v>3</v>
      </c>
      <c r="F19" s="126" t="s">
        <v>30</v>
      </c>
      <c r="G19" s="17" t="s">
        <v>5</v>
      </c>
    </row>
    <row r="20" spans="1:7" x14ac:dyDescent="0.3">
      <c r="A20" s="126"/>
      <c r="B20" s="17" t="s">
        <v>6</v>
      </c>
      <c r="C20" s="17" t="s">
        <v>7</v>
      </c>
      <c r="D20" s="131"/>
      <c r="E20" s="131"/>
      <c r="F20" s="126"/>
      <c r="G20" s="17" t="s">
        <v>8</v>
      </c>
    </row>
    <row r="21" spans="1:7" x14ac:dyDescent="0.3">
      <c r="A21" s="34" t="s">
        <v>48</v>
      </c>
      <c r="B21" s="35">
        <v>5</v>
      </c>
      <c r="C21" s="35">
        <f>100%*B21</f>
        <v>5</v>
      </c>
      <c r="D21" s="35">
        <f>20%*C21</f>
        <v>1</v>
      </c>
      <c r="E21" s="35">
        <f>13%*C21</f>
        <v>0.65</v>
      </c>
      <c r="F21" s="35">
        <f>26.6%*C21</f>
        <v>1.33</v>
      </c>
      <c r="G21" s="35">
        <f>4*(D21+F21)+9*E21</f>
        <v>15.170000000000002</v>
      </c>
    </row>
    <row r="22" spans="1:7" x14ac:dyDescent="0.3">
      <c r="A22" s="34" t="s">
        <v>49</v>
      </c>
      <c r="B22" s="35">
        <v>50</v>
      </c>
      <c r="C22" s="35">
        <f>100%*B22</f>
        <v>50</v>
      </c>
      <c r="D22" s="35">
        <f>2.8%*C22</f>
        <v>1.4</v>
      </c>
      <c r="E22" s="35">
        <f>3.2%*C22</f>
        <v>1.6</v>
      </c>
      <c r="F22" s="35">
        <f>4.7%*C22</f>
        <v>2.35</v>
      </c>
      <c r="G22" s="35">
        <f>4*(D22+F22)+9*E22</f>
        <v>29.4</v>
      </c>
    </row>
    <row r="23" spans="1:7" x14ac:dyDescent="0.3">
      <c r="A23" s="19" t="s">
        <v>10</v>
      </c>
      <c r="B23" s="35">
        <v>10</v>
      </c>
      <c r="C23" s="35">
        <f>100%*B23</f>
        <v>10</v>
      </c>
      <c r="D23" s="35"/>
      <c r="E23" s="35"/>
      <c r="F23" s="35">
        <f>99%*C23</f>
        <v>9.9</v>
      </c>
      <c r="G23" s="35">
        <f>4*(D23+F23)+9*E23</f>
        <v>39.6</v>
      </c>
    </row>
    <row r="24" spans="1:7" x14ac:dyDescent="0.3">
      <c r="A24" s="17" t="s">
        <v>13</v>
      </c>
      <c r="B24" s="134">
        <v>20</v>
      </c>
      <c r="C24" s="135"/>
      <c r="D24" s="38">
        <f>SUM(D21:D23)</f>
        <v>2.4</v>
      </c>
      <c r="E24" s="38">
        <f>SUM(E21:E23)</f>
        <v>2.25</v>
      </c>
      <c r="F24" s="38">
        <f>SUM(F21:F23)</f>
        <v>13.58</v>
      </c>
      <c r="G24" s="38">
        <f>SUM(G21:G23)</f>
        <v>84.17</v>
      </c>
    </row>
    <row r="26" spans="1:7" x14ac:dyDescent="0.3">
      <c r="A26" s="51" t="s">
        <v>110</v>
      </c>
      <c r="B26" s="154">
        <f>B24+B16</f>
        <v>180</v>
      </c>
      <c r="C26" s="154"/>
      <c r="D26" s="52">
        <f>D24+D16</f>
        <v>22.234400000000001</v>
      </c>
      <c r="E26" s="52">
        <f t="shared" ref="E26:G26" si="1">E24+E16</f>
        <v>16.535299999999999</v>
      </c>
      <c r="F26" s="52">
        <f t="shared" si="1"/>
        <v>68.78</v>
      </c>
      <c r="G26" s="52">
        <f t="shared" si="1"/>
        <v>512.87529999999992</v>
      </c>
    </row>
    <row r="27" spans="1:7" x14ac:dyDescent="0.3">
      <c r="A27" s="45"/>
      <c r="B27" s="45"/>
      <c r="C27" s="45"/>
      <c r="D27" s="53"/>
      <c r="E27" s="53"/>
      <c r="F27" s="53"/>
      <c r="G27" s="53"/>
    </row>
    <row r="28" spans="1:7" x14ac:dyDescent="0.3">
      <c r="A28" s="54" t="s">
        <v>135</v>
      </c>
      <c r="B28" s="45"/>
      <c r="C28" s="45"/>
      <c r="D28" s="53"/>
      <c r="E28" s="53"/>
      <c r="F28" s="53"/>
      <c r="G28" s="53"/>
    </row>
    <row r="30" spans="1:7" s="5" customFormat="1" x14ac:dyDescent="0.3">
      <c r="A30" s="148" t="s">
        <v>115</v>
      </c>
      <c r="B30" s="148"/>
      <c r="C30" s="148"/>
      <c r="D30" s="148"/>
      <c r="E30" s="148"/>
      <c r="F30" s="148"/>
      <c r="G30" s="148"/>
    </row>
    <row r="31" spans="1:7" s="5" customFormat="1" ht="30" x14ac:dyDescent="0.3">
      <c r="A31" s="149" t="s">
        <v>0</v>
      </c>
      <c r="B31" s="149" t="s">
        <v>1</v>
      </c>
      <c r="C31" s="149"/>
      <c r="D31" s="150" t="s">
        <v>2</v>
      </c>
      <c r="E31" s="150" t="s">
        <v>3</v>
      </c>
      <c r="F31" s="149" t="s">
        <v>30</v>
      </c>
      <c r="G31" s="10" t="s">
        <v>5</v>
      </c>
    </row>
    <row r="32" spans="1:7" s="5" customFormat="1" x14ac:dyDescent="0.3">
      <c r="A32" s="149"/>
      <c r="B32" s="10" t="s">
        <v>6</v>
      </c>
      <c r="C32" s="10" t="s">
        <v>7</v>
      </c>
      <c r="D32" s="151"/>
      <c r="E32" s="151"/>
      <c r="F32" s="149"/>
      <c r="G32" s="10" t="s">
        <v>8</v>
      </c>
    </row>
    <row r="33" spans="1:7" s="5" customFormat="1" x14ac:dyDescent="0.3">
      <c r="A33" s="55" t="s">
        <v>93</v>
      </c>
      <c r="B33" s="6">
        <v>200</v>
      </c>
      <c r="C33" s="6">
        <f>B33*75%</f>
        <v>150</v>
      </c>
      <c r="D33" s="6">
        <f>18.6%*C33</f>
        <v>27.900000000000006</v>
      </c>
      <c r="E33" s="6">
        <f>17.3%*C33</f>
        <v>25.950000000000003</v>
      </c>
      <c r="F33" s="6"/>
      <c r="G33" s="6">
        <f>4*(D33+F33)+9*E33</f>
        <v>345.15000000000003</v>
      </c>
    </row>
    <row r="34" spans="1:7" s="5" customFormat="1" x14ac:dyDescent="0.3">
      <c r="A34" s="30" t="s">
        <v>24</v>
      </c>
      <c r="B34" s="6">
        <v>5</v>
      </c>
      <c r="C34" s="6">
        <f>100%*B34</f>
        <v>5</v>
      </c>
      <c r="D34" s="6"/>
      <c r="E34" s="6">
        <f>99.9%*C34</f>
        <v>4.995000000000001</v>
      </c>
      <c r="F34" s="6"/>
      <c r="G34" s="6">
        <f t="shared" ref="G34:G39" si="2">4*(D34+F34)+9*E34</f>
        <v>44.955000000000013</v>
      </c>
    </row>
    <row r="35" spans="1:7" s="5" customFormat="1" x14ac:dyDescent="0.3">
      <c r="A35" s="30" t="s">
        <v>26</v>
      </c>
      <c r="B35" s="6">
        <v>0.25</v>
      </c>
      <c r="C35" s="6">
        <v>0.25</v>
      </c>
      <c r="D35" s="6"/>
      <c r="E35" s="6"/>
      <c r="F35" s="6"/>
      <c r="G35" s="6">
        <f t="shared" si="2"/>
        <v>0</v>
      </c>
    </row>
    <row r="36" spans="1:7" s="5" customFormat="1" x14ac:dyDescent="0.3">
      <c r="A36" s="55" t="s">
        <v>62</v>
      </c>
      <c r="B36" s="6">
        <v>5</v>
      </c>
      <c r="C36" s="6">
        <f>B36*100%</f>
        <v>5</v>
      </c>
      <c r="D36" s="6">
        <f>C36*10%</f>
        <v>0.5</v>
      </c>
      <c r="E36" s="6">
        <f>C36*1.3%</f>
        <v>6.5000000000000002E-2</v>
      </c>
      <c r="F36" s="6">
        <f>C36*69%</f>
        <v>3.4499999999999997</v>
      </c>
      <c r="G36" s="6">
        <f t="shared" si="2"/>
        <v>16.384999999999998</v>
      </c>
    </row>
    <row r="37" spans="1:7" s="5" customFormat="1" x14ac:dyDescent="0.3">
      <c r="A37" s="30" t="s">
        <v>11</v>
      </c>
      <c r="B37" s="6">
        <v>1</v>
      </c>
      <c r="C37" s="6">
        <f>100%*B37</f>
        <v>1</v>
      </c>
      <c r="D37" s="6"/>
      <c r="E37" s="6"/>
      <c r="F37" s="6"/>
      <c r="G37" s="6">
        <f t="shared" si="2"/>
        <v>0</v>
      </c>
    </row>
    <row r="38" spans="1:7" s="5" customFormat="1" x14ac:dyDescent="0.3">
      <c r="A38" s="30" t="s">
        <v>21</v>
      </c>
      <c r="B38" s="6">
        <v>12</v>
      </c>
      <c r="C38" s="6">
        <f>90%*B38</f>
        <v>10.8</v>
      </c>
      <c r="D38" s="6">
        <f>1.58%*C38</f>
        <v>0.17064000000000004</v>
      </c>
      <c r="E38" s="6"/>
      <c r="F38" s="6">
        <f>9.5%*C38</f>
        <v>1.026</v>
      </c>
      <c r="G38" s="6">
        <f t="shared" si="2"/>
        <v>4.7865600000000006</v>
      </c>
    </row>
    <row r="39" spans="1:7" s="5" customFormat="1" x14ac:dyDescent="0.3">
      <c r="A39" s="30" t="s">
        <v>27</v>
      </c>
      <c r="B39" s="6">
        <v>0.5</v>
      </c>
      <c r="C39" s="6">
        <f>92%*B39</f>
        <v>0.46</v>
      </c>
      <c r="D39" s="6"/>
      <c r="E39" s="6"/>
      <c r="F39" s="6"/>
      <c r="G39" s="6">
        <f t="shared" si="2"/>
        <v>0</v>
      </c>
    </row>
    <row r="40" spans="1:7" s="5" customFormat="1" x14ac:dyDescent="0.3">
      <c r="A40" s="10" t="s">
        <v>13</v>
      </c>
      <c r="B40" s="152">
        <v>170</v>
      </c>
      <c r="C40" s="153"/>
      <c r="D40" s="15">
        <f>SUM(D33:D39)</f>
        <v>28.570640000000004</v>
      </c>
      <c r="E40" s="15">
        <f>SUM(E33:E39)</f>
        <v>31.010000000000005</v>
      </c>
      <c r="F40" s="15">
        <f>SUM(F33:F39)</f>
        <v>4.476</v>
      </c>
      <c r="G40" s="15">
        <f>SUM(G33:G39)</f>
        <v>411.27656000000002</v>
      </c>
    </row>
    <row r="41" spans="1:7" s="5" customFormat="1" x14ac:dyDescent="0.3"/>
    <row r="42" spans="1:7" s="5" customFormat="1" x14ac:dyDescent="0.3">
      <c r="A42" s="148" t="s">
        <v>116</v>
      </c>
      <c r="B42" s="148"/>
      <c r="C42" s="148"/>
      <c r="D42" s="148"/>
      <c r="E42" s="148"/>
      <c r="F42" s="148"/>
      <c r="G42" s="148"/>
    </row>
    <row r="43" spans="1:7" s="5" customFormat="1" ht="30" x14ac:dyDescent="0.3">
      <c r="A43" s="149" t="s">
        <v>0</v>
      </c>
      <c r="B43" s="149" t="s">
        <v>1</v>
      </c>
      <c r="C43" s="149"/>
      <c r="D43" s="150" t="s">
        <v>2</v>
      </c>
      <c r="E43" s="150" t="s">
        <v>3</v>
      </c>
      <c r="F43" s="149" t="s">
        <v>30</v>
      </c>
      <c r="G43" s="10" t="s">
        <v>5</v>
      </c>
    </row>
    <row r="44" spans="1:7" s="5" customFormat="1" x14ac:dyDescent="0.3">
      <c r="A44" s="149"/>
      <c r="B44" s="10" t="s">
        <v>6</v>
      </c>
      <c r="C44" s="10" t="s">
        <v>7</v>
      </c>
      <c r="D44" s="151"/>
      <c r="E44" s="151"/>
      <c r="F44" s="149"/>
      <c r="G44" s="10" t="s">
        <v>8</v>
      </c>
    </row>
    <row r="45" spans="1:7" s="5" customFormat="1" x14ac:dyDescent="0.3">
      <c r="A45" s="30" t="s">
        <v>23</v>
      </c>
      <c r="B45" s="6">
        <v>300</v>
      </c>
      <c r="C45" s="6">
        <f>72%*B45</f>
        <v>216</v>
      </c>
      <c r="D45" s="6">
        <f>2.1%*C45</f>
        <v>4.5360000000000005</v>
      </c>
      <c r="E45" s="6">
        <f>0.4%*C45</f>
        <v>0.86399999999999999</v>
      </c>
      <c r="F45" s="6">
        <f>15.6%*C45</f>
        <v>33.695999999999998</v>
      </c>
      <c r="G45" s="6">
        <f>4*(D45+F45)+9*E45</f>
        <v>160.70400000000001</v>
      </c>
    </row>
    <row r="46" spans="1:7" s="5" customFormat="1" x14ac:dyDescent="0.3">
      <c r="A46" s="30" t="s">
        <v>24</v>
      </c>
      <c r="B46" s="6">
        <v>10</v>
      </c>
      <c r="C46" s="6">
        <f>100%*B46</f>
        <v>10</v>
      </c>
      <c r="D46" s="6"/>
      <c r="E46" s="6">
        <f>99.9%*C46</f>
        <v>9.990000000000002</v>
      </c>
      <c r="F46" s="6"/>
      <c r="G46" s="6">
        <f>4*(D46+F46)+9*E46</f>
        <v>89.910000000000025</v>
      </c>
    </row>
    <row r="47" spans="1:7" s="5" customFormat="1" x14ac:dyDescent="0.3">
      <c r="A47" s="30" t="s">
        <v>11</v>
      </c>
      <c r="B47" s="6">
        <v>2</v>
      </c>
      <c r="C47" s="6">
        <f>100%*B47</f>
        <v>2</v>
      </c>
      <c r="D47" s="6"/>
      <c r="E47" s="6"/>
      <c r="F47" s="6"/>
      <c r="G47" s="6">
        <f>4*(D47+F47)+9*E47</f>
        <v>0</v>
      </c>
    </row>
    <row r="48" spans="1:7" s="5" customFormat="1" x14ac:dyDescent="0.3">
      <c r="A48" s="10" t="s">
        <v>13</v>
      </c>
      <c r="B48" s="152">
        <v>170</v>
      </c>
      <c r="C48" s="153"/>
      <c r="D48" s="15">
        <f>SUM(D45:D47)</f>
        <v>4.5360000000000005</v>
      </c>
      <c r="E48" s="15">
        <f>SUM(E45:E47)</f>
        <v>10.854000000000003</v>
      </c>
      <c r="F48" s="15">
        <f>SUM(F45:F47)</f>
        <v>33.695999999999998</v>
      </c>
      <c r="G48" s="15">
        <f>SUM(G45:G47)</f>
        <v>250.61400000000003</v>
      </c>
    </row>
    <row r="49" spans="1:7" s="56" customFormat="1" x14ac:dyDescent="0.2">
      <c r="A49" s="31" t="s">
        <v>14</v>
      </c>
      <c r="B49" s="38">
        <v>250</v>
      </c>
      <c r="C49" s="38">
        <f>B49*100%</f>
        <v>250</v>
      </c>
      <c r="D49" s="38">
        <f>C49*7.9%</f>
        <v>19.75</v>
      </c>
      <c r="E49" s="38">
        <f>C49*1%</f>
        <v>2.5</v>
      </c>
      <c r="F49" s="38">
        <f>C49*49.6%</f>
        <v>124</v>
      </c>
      <c r="G49" s="38">
        <f>4*(D49+F49)+9*E49</f>
        <v>597.5</v>
      </c>
    </row>
    <row r="50" spans="1:7" s="56" customFormat="1" ht="12.75" x14ac:dyDescent="0.2"/>
    <row r="52" spans="1:7" x14ac:dyDescent="0.3">
      <c r="A52" s="155" t="s">
        <v>66</v>
      </c>
      <c r="B52" s="155"/>
      <c r="C52" s="155"/>
      <c r="D52" s="155"/>
      <c r="E52" s="155"/>
      <c r="F52" s="155"/>
      <c r="G52" s="155"/>
    </row>
    <row r="53" spans="1:7" ht="30" x14ac:dyDescent="0.3">
      <c r="A53" s="126" t="s">
        <v>0</v>
      </c>
      <c r="B53" s="126" t="s">
        <v>1</v>
      </c>
      <c r="C53" s="126"/>
      <c r="D53" s="138" t="s">
        <v>2</v>
      </c>
      <c r="E53" s="138" t="s">
        <v>3</v>
      </c>
      <c r="F53" s="126" t="s">
        <v>4</v>
      </c>
      <c r="G53" s="17" t="s">
        <v>5</v>
      </c>
    </row>
    <row r="54" spans="1:7" x14ac:dyDescent="0.3">
      <c r="A54" s="126"/>
      <c r="B54" s="17" t="s">
        <v>6</v>
      </c>
      <c r="C54" s="17" t="s">
        <v>7</v>
      </c>
      <c r="D54" s="131"/>
      <c r="E54" s="131"/>
      <c r="F54" s="126"/>
      <c r="G54" s="17" t="s">
        <v>8</v>
      </c>
    </row>
    <row r="55" spans="1:7" x14ac:dyDescent="0.3">
      <c r="A55" s="19" t="s">
        <v>67</v>
      </c>
      <c r="B55" s="35">
        <v>25</v>
      </c>
      <c r="C55" s="35">
        <f>100%*B55</f>
        <v>25</v>
      </c>
      <c r="D55" s="35">
        <f>1.6%*C55</f>
        <v>0.4</v>
      </c>
      <c r="E55" s="35"/>
      <c r="F55" s="35">
        <f>40%*C55</f>
        <v>10</v>
      </c>
      <c r="G55" s="35">
        <f>4*(D55+F55)+9*E55</f>
        <v>41.6</v>
      </c>
    </row>
    <row r="56" spans="1:7" x14ac:dyDescent="0.3">
      <c r="A56" s="19" t="s">
        <v>10</v>
      </c>
      <c r="B56" s="35">
        <v>10</v>
      </c>
      <c r="C56" s="35">
        <f>100%*B56</f>
        <v>10</v>
      </c>
      <c r="D56" s="35"/>
      <c r="E56" s="35"/>
      <c r="F56" s="35">
        <f>99%*C56</f>
        <v>9.9</v>
      </c>
      <c r="G56" s="35">
        <f>4*(D56+F56)+9*E56</f>
        <v>39.6</v>
      </c>
    </row>
    <row r="57" spans="1:7" x14ac:dyDescent="0.3">
      <c r="A57" s="31" t="s">
        <v>13</v>
      </c>
      <c r="B57" s="139">
        <v>200</v>
      </c>
      <c r="C57" s="140"/>
      <c r="D57" s="38">
        <f>SUM(D55:D56)</f>
        <v>0.4</v>
      </c>
      <c r="E57" s="38">
        <f>SUM(E55:E56)</f>
        <v>0</v>
      </c>
      <c r="F57" s="38">
        <f>SUM(F55:F56)</f>
        <v>19.899999999999999</v>
      </c>
      <c r="G57" s="38">
        <f>SUM(G55:G56)</f>
        <v>81.2</v>
      </c>
    </row>
    <row r="59" spans="1:7" x14ac:dyDescent="0.3">
      <c r="A59" s="51" t="s">
        <v>124</v>
      </c>
      <c r="B59" s="154">
        <f>B57+C49+B48+B40</f>
        <v>790</v>
      </c>
      <c r="C59" s="154"/>
      <c r="D59" s="52">
        <f>D57+D49+D48+D40</f>
        <v>53.256640000000004</v>
      </c>
      <c r="E59" s="52">
        <f t="shared" ref="E59:G59" si="3">E57+E49+E48+E40</f>
        <v>44.364000000000004</v>
      </c>
      <c r="F59" s="52">
        <f t="shared" si="3"/>
        <v>182.072</v>
      </c>
      <c r="G59" s="52">
        <f t="shared" si="3"/>
        <v>1340.5905600000001</v>
      </c>
    </row>
    <row r="60" spans="1:7" x14ac:dyDescent="0.3">
      <c r="A60" s="45"/>
      <c r="B60" s="45"/>
      <c r="C60" s="45"/>
      <c r="D60" s="53"/>
      <c r="E60" s="53"/>
      <c r="F60" s="53"/>
      <c r="G60" s="53"/>
    </row>
    <row r="61" spans="1:7" x14ac:dyDescent="0.3">
      <c r="A61" s="54" t="s">
        <v>134</v>
      </c>
      <c r="B61" s="45"/>
      <c r="C61" s="45"/>
      <c r="D61" s="53"/>
      <c r="E61" s="53"/>
      <c r="F61" s="53"/>
      <c r="G61" s="53"/>
    </row>
    <row r="63" spans="1:7" x14ac:dyDescent="0.3">
      <c r="A63" s="155" t="s">
        <v>68</v>
      </c>
      <c r="B63" s="155"/>
      <c r="C63" s="155"/>
      <c r="D63" s="155"/>
      <c r="E63" s="155"/>
      <c r="F63" s="155"/>
      <c r="G63" s="155"/>
    </row>
    <row r="64" spans="1:7" ht="30" x14ac:dyDescent="0.3">
      <c r="A64" s="126" t="s">
        <v>0</v>
      </c>
      <c r="B64" s="126" t="s">
        <v>1</v>
      </c>
      <c r="C64" s="126"/>
      <c r="D64" s="138" t="s">
        <v>2</v>
      </c>
      <c r="E64" s="138" t="s">
        <v>3</v>
      </c>
      <c r="F64" s="126" t="s">
        <v>4</v>
      </c>
      <c r="G64" s="17" t="s">
        <v>5</v>
      </c>
    </row>
    <row r="65" spans="1:7" x14ac:dyDescent="0.3">
      <c r="A65" s="126"/>
      <c r="B65" s="17" t="s">
        <v>6</v>
      </c>
      <c r="C65" s="17" t="s">
        <v>7</v>
      </c>
      <c r="D65" s="131"/>
      <c r="E65" s="131"/>
      <c r="F65" s="126"/>
      <c r="G65" s="17" t="s">
        <v>8</v>
      </c>
    </row>
    <row r="66" spans="1:7" x14ac:dyDescent="0.3">
      <c r="A66" s="19" t="s">
        <v>60</v>
      </c>
      <c r="B66" s="35">
        <v>250</v>
      </c>
      <c r="C66" s="35">
        <f>B66*72%</f>
        <v>180</v>
      </c>
      <c r="D66" s="35">
        <f>18.5%*C66</f>
        <v>33.299999999999997</v>
      </c>
      <c r="E66" s="35">
        <f>15.9%*C66</f>
        <v>28.62</v>
      </c>
      <c r="F66" s="35"/>
      <c r="G66" s="35">
        <f>4*(D66+F66)+9*E66</f>
        <v>390.78</v>
      </c>
    </row>
    <row r="67" spans="1:7" x14ac:dyDescent="0.3">
      <c r="A67" s="19" t="s">
        <v>9</v>
      </c>
      <c r="B67" s="35">
        <v>3</v>
      </c>
      <c r="C67" s="35">
        <f>100%*B67</f>
        <v>3</v>
      </c>
      <c r="D67" s="35"/>
      <c r="E67" s="35">
        <f>72.57%*C67</f>
        <v>2.1770999999999998</v>
      </c>
      <c r="F67" s="35"/>
      <c r="G67" s="35">
        <f>4*(D67+F67)+9*E67</f>
        <v>19.593899999999998</v>
      </c>
    </row>
    <row r="68" spans="1:7" x14ac:dyDescent="0.3">
      <c r="A68" s="19" t="s">
        <v>26</v>
      </c>
      <c r="B68" s="35">
        <v>0.2</v>
      </c>
      <c r="C68" s="35">
        <f>100%*B68</f>
        <v>0.2</v>
      </c>
      <c r="D68" s="35"/>
      <c r="E68" s="35"/>
      <c r="F68" s="35"/>
      <c r="G68" s="35">
        <f t="shared" ref="G68:G73" si="4">4*(D68+F68)+9*E68</f>
        <v>0</v>
      </c>
    </row>
    <row r="69" spans="1:7" x14ac:dyDescent="0.3">
      <c r="A69" s="19" t="s">
        <v>21</v>
      </c>
      <c r="B69" s="35">
        <v>20</v>
      </c>
      <c r="C69" s="35">
        <f>90%*B69</f>
        <v>18</v>
      </c>
      <c r="D69" s="35">
        <f>1.58%*C69</f>
        <v>0.28440000000000004</v>
      </c>
      <c r="E69" s="35"/>
      <c r="F69" s="35">
        <f>9.5%*C69</f>
        <v>1.71</v>
      </c>
      <c r="G69" s="35">
        <f t="shared" si="4"/>
        <v>7.9775999999999998</v>
      </c>
    </row>
    <row r="70" spans="1:7" x14ac:dyDescent="0.3">
      <c r="A70" s="19" t="s">
        <v>27</v>
      </c>
      <c r="B70" s="35">
        <v>0.3</v>
      </c>
      <c r="C70" s="35">
        <f>92%*B70</f>
        <v>0.27600000000000002</v>
      </c>
      <c r="D70" s="35"/>
      <c r="E70" s="35"/>
      <c r="F70" s="35"/>
      <c r="G70" s="35">
        <f t="shared" si="4"/>
        <v>0</v>
      </c>
    </row>
    <row r="71" spans="1:7" x14ac:dyDescent="0.3">
      <c r="A71" s="19" t="s">
        <v>20</v>
      </c>
      <c r="B71" s="35">
        <v>4</v>
      </c>
      <c r="C71" s="35">
        <f>85%*B71</f>
        <v>3.4</v>
      </c>
      <c r="D71" s="35"/>
      <c r="E71" s="35"/>
      <c r="F71" s="35"/>
      <c r="G71" s="35">
        <f t="shared" si="4"/>
        <v>0</v>
      </c>
    </row>
    <row r="72" spans="1:7" x14ac:dyDescent="0.3">
      <c r="A72" s="19" t="s">
        <v>16</v>
      </c>
      <c r="B72" s="35">
        <v>50</v>
      </c>
      <c r="C72" s="35">
        <f>90%*B72</f>
        <v>45</v>
      </c>
      <c r="D72" s="35">
        <f>1.1%*C72</f>
        <v>0.49500000000000005</v>
      </c>
      <c r="E72" s="35">
        <f>0.2%*C72</f>
        <v>0.09</v>
      </c>
      <c r="F72" s="35">
        <f>3.8%*C72</f>
        <v>1.71</v>
      </c>
      <c r="G72" s="35">
        <f t="shared" si="4"/>
        <v>9.6300000000000008</v>
      </c>
    </row>
    <row r="73" spans="1:7" x14ac:dyDescent="0.3">
      <c r="A73" s="19" t="s">
        <v>11</v>
      </c>
      <c r="B73" s="35">
        <v>1</v>
      </c>
      <c r="C73" s="35">
        <f>100%*B73</f>
        <v>1</v>
      </c>
      <c r="D73" s="35"/>
      <c r="E73" s="35"/>
      <c r="F73" s="35"/>
      <c r="G73" s="35">
        <f t="shared" si="4"/>
        <v>0</v>
      </c>
    </row>
    <row r="74" spans="1:7" x14ac:dyDescent="0.3">
      <c r="A74" s="17" t="s">
        <v>13</v>
      </c>
      <c r="B74" s="134" t="s">
        <v>69</v>
      </c>
      <c r="C74" s="135"/>
      <c r="D74" s="38">
        <f>SUM(D66:D73)</f>
        <v>34.079399999999993</v>
      </c>
      <c r="E74" s="38">
        <f>SUM(E66:E73)</f>
        <v>30.8871</v>
      </c>
      <c r="F74" s="38">
        <f>SUM(F66:F73)</f>
        <v>3.42</v>
      </c>
      <c r="G74" s="38">
        <f>SUM(G66:G73)</f>
        <v>427.98149999999998</v>
      </c>
    </row>
    <row r="75" spans="1:7" x14ac:dyDescent="0.3">
      <c r="A75" s="31" t="s">
        <v>14</v>
      </c>
      <c r="B75" s="38">
        <v>250</v>
      </c>
      <c r="C75" s="38">
        <f>B75*100%</f>
        <v>250</v>
      </c>
      <c r="D75" s="38">
        <f>C75*7.9%</f>
        <v>19.75</v>
      </c>
      <c r="E75" s="38">
        <f>C75*1%</f>
        <v>2.5</v>
      </c>
      <c r="F75" s="38">
        <f>C75*49.6%</f>
        <v>124</v>
      </c>
      <c r="G75" s="38">
        <f>4*(D75+F75)+9*E75</f>
        <v>597.5</v>
      </c>
    </row>
    <row r="77" spans="1:7" x14ac:dyDescent="0.3">
      <c r="A77" s="57" t="s">
        <v>70</v>
      </c>
      <c r="B77" s="57"/>
      <c r="C77" s="57"/>
      <c r="D77" s="57"/>
      <c r="E77" s="57"/>
      <c r="F77" s="57"/>
      <c r="G77" s="57"/>
    </row>
    <row r="78" spans="1:7" ht="36" customHeight="1" x14ac:dyDescent="0.3">
      <c r="A78" s="126" t="s">
        <v>0</v>
      </c>
      <c r="B78" s="126" t="s">
        <v>1</v>
      </c>
      <c r="C78" s="126"/>
      <c r="D78" s="138" t="s">
        <v>2</v>
      </c>
      <c r="E78" s="138" t="s">
        <v>3</v>
      </c>
      <c r="F78" s="126" t="s">
        <v>4</v>
      </c>
      <c r="G78" s="17" t="s">
        <v>5</v>
      </c>
    </row>
    <row r="79" spans="1:7" x14ac:dyDescent="0.3">
      <c r="A79" s="126"/>
      <c r="B79" s="17" t="s">
        <v>6</v>
      </c>
      <c r="C79" s="17" t="s">
        <v>7</v>
      </c>
      <c r="D79" s="131"/>
      <c r="E79" s="131"/>
      <c r="F79" s="126"/>
      <c r="G79" s="17" t="s">
        <v>8</v>
      </c>
    </row>
    <row r="80" spans="1:7" x14ac:dyDescent="0.3">
      <c r="A80" s="19" t="s">
        <v>71</v>
      </c>
      <c r="B80" s="35">
        <v>70</v>
      </c>
      <c r="C80" s="35">
        <f>B80*100%</f>
        <v>70</v>
      </c>
      <c r="D80" s="35">
        <f>9.15%*C80</f>
        <v>6.4050000000000002</v>
      </c>
      <c r="E80" s="35">
        <f>0.8%*C80</f>
        <v>0.56000000000000005</v>
      </c>
      <c r="F80" s="35">
        <f>60%*C80</f>
        <v>42</v>
      </c>
      <c r="G80" s="35">
        <f>4*(D80+F80)+9*E80</f>
        <v>198.66</v>
      </c>
    </row>
    <row r="81" spans="1:7" x14ac:dyDescent="0.3">
      <c r="A81" s="19" t="s">
        <v>24</v>
      </c>
      <c r="B81" s="35">
        <v>5</v>
      </c>
      <c r="C81" s="35">
        <f>100%*B81</f>
        <v>5</v>
      </c>
      <c r="D81" s="35"/>
      <c r="E81" s="35">
        <f>99.9%*C81</f>
        <v>4.995000000000001</v>
      </c>
      <c r="F81" s="35"/>
      <c r="G81" s="35">
        <f>4*(D81+F81)+9*E81</f>
        <v>44.955000000000013</v>
      </c>
    </row>
    <row r="82" spans="1:7" x14ac:dyDescent="0.3">
      <c r="A82" s="19" t="s">
        <v>11</v>
      </c>
      <c r="B82" s="35">
        <v>1</v>
      </c>
      <c r="C82" s="35">
        <f>100%*B82</f>
        <v>1</v>
      </c>
      <c r="D82" s="35"/>
      <c r="E82" s="35"/>
      <c r="F82" s="35"/>
      <c r="G82" s="35">
        <f>4*(D82+F82)+9*E82</f>
        <v>0</v>
      </c>
    </row>
    <row r="83" spans="1:7" x14ac:dyDescent="0.3">
      <c r="A83" s="17" t="s">
        <v>13</v>
      </c>
      <c r="B83" s="142">
        <v>200</v>
      </c>
      <c r="C83" s="143"/>
      <c r="D83" s="38">
        <f>SUM(D80:D82)</f>
        <v>6.4050000000000002</v>
      </c>
      <c r="E83" s="38">
        <f>SUM(E80:E82)</f>
        <v>5.5550000000000015</v>
      </c>
      <c r="F83" s="38">
        <f>SUM(F80:F82)</f>
        <v>42</v>
      </c>
      <c r="G83" s="38">
        <f>SUM(G80:G82)</f>
        <v>243.61500000000001</v>
      </c>
    </row>
    <row r="85" spans="1:7" s="56" customFormat="1" ht="12.75" x14ac:dyDescent="0.2"/>
    <row r="86" spans="1:7" x14ac:dyDescent="0.3">
      <c r="A86" s="51" t="s">
        <v>136</v>
      </c>
      <c r="B86" s="154">
        <f>B83+C75+149+220</f>
        <v>819</v>
      </c>
      <c r="C86" s="154"/>
      <c r="D86" s="52">
        <f>D83+D75+D74</f>
        <v>60.234399999999994</v>
      </c>
      <c r="E86" s="52">
        <f t="shared" ref="E86:G86" si="5">E83+E75+E74</f>
        <v>38.942100000000003</v>
      </c>
      <c r="F86" s="52">
        <f t="shared" si="5"/>
        <v>169.42</v>
      </c>
      <c r="G86" s="52">
        <f t="shared" si="5"/>
        <v>1269.0965000000001</v>
      </c>
    </row>
    <row r="89" spans="1:7" x14ac:dyDescent="0.3">
      <c r="A89" s="51" t="s">
        <v>111</v>
      </c>
      <c r="B89" s="156">
        <f>B86+B59+B26</f>
        <v>1789</v>
      </c>
      <c r="C89" s="156"/>
      <c r="D89" s="58">
        <f>D86+D59+D26</f>
        <v>135.72543999999999</v>
      </c>
      <c r="E89" s="58">
        <f t="shared" ref="E89:G89" si="6">E86+E59+E26</f>
        <v>99.841400000000021</v>
      </c>
      <c r="F89" s="58">
        <f t="shared" si="6"/>
        <v>420.27199999999993</v>
      </c>
      <c r="G89" s="58">
        <f t="shared" si="6"/>
        <v>3122.5623599999999</v>
      </c>
    </row>
  </sheetData>
  <mergeCells count="54">
    <mergeCell ref="B57:C57"/>
    <mergeCell ref="F43:F44"/>
    <mergeCell ref="A31:A32"/>
    <mergeCell ref="B31:C31"/>
    <mergeCell ref="D31:D32"/>
    <mergeCell ref="E31:E32"/>
    <mergeCell ref="F31:F32"/>
    <mergeCell ref="B16:C16"/>
    <mergeCell ref="B40:C40"/>
    <mergeCell ref="A42:G42"/>
    <mergeCell ref="F8:F9"/>
    <mergeCell ref="A8:A9"/>
    <mergeCell ref="B8:C8"/>
    <mergeCell ref="D8:D9"/>
    <mergeCell ref="E8:E9"/>
    <mergeCell ref="F19:F20"/>
    <mergeCell ref="A18:G18"/>
    <mergeCell ref="A19:A20"/>
    <mergeCell ref="B19:C19"/>
    <mergeCell ref="D19:D20"/>
    <mergeCell ref="E19:E20"/>
    <mergeCell ref="B26:C26"/>
    <mergeCell ref="A30:G30"/>
    <mergeCell ref="B86:C86"/>
    <mergeCell ref="B89:C89"/>
    <mergeCell ref="B78:C78"/>
    <mergeCell ref="B83:C83"/>
    <mergeCell ref="A63:G63"/>
    <mergeCell ref="A64:A65"/>
    <mergeCell ref="A78:A79"/>
    <mergeCell ref="D78:D79"/>
    <mergeCell ref="E78:E79"/>
    <mergeCell ref="F78:F79"/>
    <mergeCell ref="B74:C74"/>
    <mergeCell ref="B64:C64"/>
    <mergeCell ref="D64:D65"/>
    <mergeCell ref="E64:E65"/>
    <mergeCell ref="F64:F65"/>
    <mergeCell ref="A1:G1"/>
    <mergeCell ref="A2:G3"/>
    <mergeCell ref="A4:G4"/>
    <mergeCell ref="B24:C24"/>
    <mergeCell ref="B59:C59"/>
    <mergeCell ref="A43:A44"/>
    <mergeCell ref="B43:C43"/>
    <mergeCell ref="D43:D44"/>
    <mergeCell ref="E43:E44"/>
    <mergeCell ref="B48:C48"/>
    <mergeCell ref="A52:G52"/>
    <mergeCell ref="A53:A54"/>
    <mergeCell ref="B53:C53"/>
    <mergeCell ref="D53:D54"/>
    <mergeCell ref="E53:E54"/>
    <mergeCell ref="F53:F54"/>
  </mergeCells>
  <pageMargins left="0.7" right="0.7" top="0.75" bottom="0.75" header="0.3" footer="0.3"/>
  <pageSetup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5"/>
  <sheetViews>
    <sheetView view="pageBreakPreview" zoomScale="136" zoomScaleNormal="100" zoomScaleSheetLayoutView="136" workbookViewId="0">
      <selection activeCell="A2" sqref="A2:G3"/>
    </sheetView>
  </sheetViews>
  <sheetFormatPr defaultRowHeight="15" x14ac:dyDescent="0.3"/>
  <cols>
    <col min="1" max="1" width="29.28515625" style="4" customWidth="1"/>
    <col min="2" max="6" width="16.85546875" style="1" customWidth="1"/>
    <col min="7" max="7" width="19" style="1" customWidth="1"/>
    <col min="8" max="256" width="9.140625" style="1"/>
    <col min="257" max="257" width="34.85546875" style="1" bestFit="1" customWidth="1"/>
    <col min="258" max="258" width="12" style="1" customWidth="1"/>
    <col min="259" max="259" width="12.5703125" style="1" customWidth="1"/>
    <col min="260" max="260" width="12.28515625" style="1" customWidth="1"/>
    <col min="261" max="261" width="11.28515625" style="1" customWidth="1"/>
    <col min="262" max="262" width="16.140625" style="1" customWidth="1"/>
    <col min="263" max="263" width="20.42578125" style="1" customWidth="1"/>
    <col min="264" max="512" width="9.140625" style="1"/>
    <col min="513" max="513" width="34.85546875" style="1" bestFit="1" customWidth="1"/>
    <col min="514" max="514" width="12" style="1" customWidth="1"/>
    <col min="515" max="515" width="12.5703125" style="1" customWidth="1"/>
    <col min="516" max="516" width="12.28515625" style="1" customWidth="1"/>
    <col min="517" max="517" width="11.28515625" style="1" customWidth="1"/>
    <col min="518" max="518" width="16.140625" style="1" customWidth="1"/>
    <col min="519" max="519" width="20.42578125" style="1" customWidth="1"/>
    <col min="520" max="768" width="9.140625" style="1"/>
    <col min="769" max="769" width="34.85546875" style="1" bestFit="1" customWidth="1"/>
    <col min="770" max="770" width="12" style="1" customWidth="1"/>
    <col min="771" max="771" width="12.5703125" style="1" customWidth="1"/>
    <col min="772" max="772" width="12.28515625" style="1" customWidth="1"/>
    <col min="773" max="773" width="11.28515625" style="1" customWidth="1"/>
    <col min="774" max="774" width="16.140625" style="1" customWidth="1"/>
    <col min="775" max="775" width="20.42578125" style="1" customWidth="1"/>
    <col min="776" max="1024" width="9.140625" style="1"/>
    <col min="1025" max="1025" width="34.85546875" style="1" bestFit="1" customWidth="1"/>
    <col min="1026" max="1026" width="12" style="1" customWidth="1"/>
    <col min="1027" max="1027" width="12.5703125" style="1" customWidth="1"/>
    <col min="1028" max="1028" width="12.28515625" style="1" customWidth="1"/>
    <col min="1029" max="1029" width="11.28515625" style="1" customWidth="1"/>
    <col min="1030" max="1030" width="16.140625" style="1" customWidth="1"/>
    <col min="1031" max="1031" width="20.42578125" style="1" customWidth="1"/>
    <col min="1032" max="1280" width="9.140625" style="1"/>
    <col min="1281" max="1281" width="34.85546875" style="1" bestFit="1" customWidth="1"/>
    <col min="1282" max="1282" width="12" style="1" customWidth="1"/>
    <col min="1283" max="1283" width="12.5703125" style="1" customWidth="1"/>
    <col min="1284" max="1284" width="12.28515625" style="1" customWidth="1"/>
    <col min="1285" max="1285" width="11.28515625" style="1" customWidth="1"/>
    <col min="1286" max="1286" width="16.140625" style="1" customWidth="1"/>
    <col min="1287" max="1287" width="20.42578125" style="1" customWidth="1"/>
    <col min="1288" max="1536" width="9.140625" style="1"/>
    <col min="1537" max="1537" width="34.85546875" style="1" bestFit="1" customWidth="1"/>
    <col min="1538" max="1538" width="12" style="1" customWidth="1"/>
    <col min="1539" max="1539" width="12.5703125" style="1" customWidth="1"/>
    <col min="1540" max="1540" width="12.28515625" style="1" customWidth="1"/>
    <col min="1541" max="1541" width="11.28515625" style="1" customWidth="1"/>
    <col min="1542" max="1542" width="16.140625" style="1" customWidth="1"/>
    <col min="1543" max="1543" width="20.42578125" style="1" customWidth="1"/>
    <col min="1544" max="1792" width="9.140625" style="1"/>
    <col min="1793" max="1793" width="34.85546875" style="1" bestFit="1" customWidth="1"/>
    <col min="1794" max="1794" width="12" style="1" customWidth="1"/>
    <col min="1795" max="1795" width="12.5703125" style="1" customWidth="1"/>
    <col min="1796" max="1796" width="12.28515625" style="1" customWidth="1"/>
    <col min="1797" max="1797" width="11.28515625" style="1" customWidth="1"/>
    <col min="1798" max="1798" width="16.140625" style="1" customWidth="1"/>
    <col min="1799" max="1799" width="20.42578125" style="1" customWidth="1"/>
    <col min="1800" max="2048" width="9.140625" style="1"/>
    <col min="2049" max="2049" width="34.85546875" style="1" bestFit="1" customWidth="1"/>
    <col min="2050" max="2050" width="12" style="1" customWidth="1"/>
    <col min="2051" max="2051" width="12.5703125" style="1" customWidth="1"/>
    <col min="2052" max="2052" width="12.28515625" style="1" customWidth="1"/>
    <col min="2053" max="2053" width="11.28515625" style="1" customWidth="1"/>
    <col min="2054" max="2054" width="16.140625" style="1" customWidth="1"/>
    <col min="2055" max="2055" width="20.42578125" style="1" customWidth="1"/>
    <col min="2056" max="2304" width="9.140625" style="1"/>
    <col min="2305" max="2305" width="34.85546875" style="1" bestFit="1" customWidth="1"/>
    <col min="2306" max="2306" width="12" style="1" customWidth="1"/>
    <col min="2307" max="2307" width="12.5703125" style="1" customWidth="1"/>
    <col min="2308" max="2308" width="12.28515625" style="1" customWidth="1"/>
    <col min="2309" max="2309" width="11.28515625" style="1" customWidth="1"/>
    <col min="2310" max="2310" width="16.140625" style="1" customWidth="1"/>
    <col min="2311" max="2311" width="20.42578125" style="1" customWidth="1"/>
    <col min="2312" max="2560" width="9.140625" style="1"/>
    <col min="2561" max="2561" width="34.85546875" style="1" bestFit="1" customWidth="1"/>
    <col min="2562" max="2562" width="12" style="1" customWidth="1"/>
    <col min="2563" max="2563" width="12.5703125" style="1" customWidth="1"/>
    <col min="2564" max="2564" width="12.28515625" style="1" customWidth="1"/>
    <col min="2565" max="2565" width="11.28515625" style="1" customWidth="1"/>
    <col min="2566" max="2566" width="16.140625" style="1" customWidth="1"/>
    <col min="2567" max="2567" width="20.42578125" style="1" customWidth="1"/>
    <col min="2568" max="2816" width="9.140625" style="1"/>
    <col min="2817" max="2817" width="34.85546875" style="1" bestFit="1" customWidth="1"/>
    <col min="2818" max="2818" width="12" style="1" customWidth="1"/>
    <col min="2819" max="2819" width="12.5703125" style="1" customWidth="1"/>
    <col min="2820" max="2820" width="12.28515625" style="1" customWidth="1"/>
    <col min="2821" max="2821" width="11.28515625" style="1" customWidth="1"/>
    <col min="2822" max="2822" width="16.140625" style="1" customWidth="1"/>
    <col min="2823" max="2823" width="20.42578125" style="1" customWidth="1"/>
    <col min="2824" max="3072" width="9.140625" style="1"/>
    <col min="3073" max="3073" width="34.85546875" style="1" bestFit="1" customWidth="1"/>
    <col min="3074" max="3074" width="12" style="1" customWidth="1"/>
    <col min="3075" max="3075" width="12.5703125" style="1" customWidth="1"/>
    <col min="3076" max="3076" width="12.28515625" style="1" customWidth="1"/>
    <col min="3077" max="3077" width="11.28515625" style="1" customWidth="1"/>
    <col min="3078" max="3078" width="16.140625" style="1" customWidth="1"/>
    <col min="3079" max="3079" width="20.42578125" style="1" customWidth="1"/>
    <col min="3080" max="3328" width="9.140625" style="1"/>
    <col min="3329" max="3329" width="34.85546875" style="1" bestFit="1" customWidth="1"/>
    <col min="3330" max="3330" width="12" style="1" customWidth="1"/>
    <col min="3331" max="3331" width="12.5703125" style="1" customWidth="1"/>
    <col min="3332" max="3332" width="12.28515625" style="1" customWidth="1"/>
    <col min="3333" max="3333" width="11.28515625" style="1" customWidth="1"/>
    <col min="3334" max="3334" width="16.140625" style="1" customWidth="1"/>
    <col min="3335" max="3335" width="20.42578125" style="1" customWidth="1"/>
    <col min="3336" max="3584" width="9.140625" style="1"/>
    <col min="3585" max="3585" width="34.85546875" style="1" bestFit="1" customWidth="1"/>
    <col min="3586" max="3586" width="12" style="1" customWidth="1"/>
    <col min="3587" max="3587" width="12.5703125" style="1" customWidth="1"/>
    <col min="3588" max="3588" width="12.28515625" style="1" customWidth="1"/>
    <col min="3589" max="3589" width="11.28515625" style="1" customWidth="1"/>
    <col min="3590" max="3590" width="16.140625" style="1" customWidth="1"/>
    <col min="3591" max="3591" width="20.42578125" style="1" customWidth="1"/>
    <col min="3592" max="3840" width="9.140625" style="1"/>
    <col min="3841" max="3841" width="34.85546875" style="1" bestFit="1" customWidth="1"/>
    <col min="3842" max="3842" width="12" style="1" customWidth="1"/>
    <col min="3843" max="3843" width="12.5703125" style="1" customWidth="1"/>
    <col min="3844" max="3844" width="12.28515625" style="1" customWidth="1"/>
    <col min="3845" max="3845" width="11.28515625" style="1" customWidth="1"/>
    <col min="3846" max="3846" width="16.140625" style="1" customWidth="1"/>
    <col min="3847" max="3847" width="20.42578125" style="1" customWidth="1"/>
    <col min="3848" max="4096" width="9.140625" style="1"/>
    <col min="4097" max="4097" width="34.85546875" style="1" bestFit="1" customWidth="1"/>
    <col min="4098" max="4098" width="12" style="1" customWidth="1"/>
    <col min="4099" max="4099" width="12.5703125" style="1" customWidth="1"/>
    <col min="4100" max="4100" width="12.28515625" style="1" customWidth="1"/>
    <col min="4101" max="4101" width="11.28515625" style="1" customWidth="1"/>
    <col min="4102" max="4102" width="16.140625" style="1" customWidth="1"/>
    <col min="4103" max="4103" width="20.42578125" style="1" customWidth="1"/>
    <col min="4104" max="4352" width="9.140625" style="1"/>
    <col min="4353" max="4353" width="34.85546875" style="1" bestFit="1" customWidth="1"/>
    <col min="4354" max="4354" width="12" style="1" customWidth="1"/>
    <col min="4355" max="4355" width="12.5703125" style="1" customWidth="1"/>
    <col min="4356" max="4356" width="12.28515625" style="1" customWidth="1"/>
    <col min="4357" max="4357" width="11.28515625" style="1" customWidth="1"/>
    <col min="4358" max="4358" width="16.140625" style="1" customWidth="1"/>
    <col min="4359" max="4359" width="20.42578125" style="1" customWidth="1"/>
    <col min="4360" max="4608" width="9.140625" style="1"/>
    <col min="4609" max="4609" width="34.85546875" style="1" bestFit="1" customWidth="1"/>
    <col min="4610" max="4610" width="12" style="1" customWidth="1"/>
    <col min="4611" max="4611" width="12.5703125" style="1" customWidth="1"/>
    <col min="4612" max="4612" width="12.28515625" style="1" customWidth="1"/>
    <col min="4613" max="4613" width="11.28515625" style="1" customWidth="1"/>
    <col min="4614" max="4614" width="16.140625" style="1" customWidth="1"/>
    <col min="4615" max="4615" width="20.42578125" style="1" customWidth="1"/>
    <col min="4616" max="4864" width="9.140625" style="1"/>
    <col min="4865" max="4865" width="34.85546875" style="1" bestFit="1" customWidth="1"/>
    <col min="4866" max="4866" width="12" style="1" customWidth="1"/>
    <col min="4867" max="4867" width="12.5703125" style="1" customWidth="1"/>
    <col min="4868" max="4868" width="12.28515625" style="1" customWidth="1"/>
    <col min="4869" max="4869" width="11.28515625" style="1" customWidth="1"/>
    <col min="4870" max="4870" width="16.140625" style="1" customWidth="1"/>
    <col min="4871" max="4871" width="20.42578125" style="1" customWidth="1"/>
    <col min="4872" max="5120" width="9.140625" style="1"/>
    <col min="5121" max="5121" width="34.85546875" style="1" bestFit="1" customWidth="1"/>
    <col min="5122" max="5122" width="12" style="1" customWidth="1"/>
    <col min="5123" max="5123" width="12.5703125" style="1" customWidth="1"/>
    <col min="5124" max="5124" width="12.28515625" style="1" customWidth="1"/>
    <col min="5125" max="5125" width="11.28515625" style="1" customWidth="1"/>
    <col min="5126" max="5126" width="16.140625" style="1" customWidth="1"/>
    <col min="5127" max="5127" width="20.42578125" style="1" customWidth="1"/>
    <col min="5128" max="5376" width="9.140625" style="1"/>
    <col min="5377" max="5377" width="34.85546875" style="1" bestFit="1" customWidth="1"/>
    <col min="5378" max="5378" width="12" style="1" customWidth="1"/>
    <col min="5379" max="5379" width="12.5703125" style="1" customWidth="1"/>
    <col min="5380" max="5380" width="12.28515625" style="1" customWidth="1"/>
    <col min="5381" max="5381" width="11.28515625" style="1" customWidth="1"/>
    <col min="5382" max="5382" width="16.140625" style="1" customWidth="1"/>
    <col min="5383" max="5383" width="20.42578125" style="1" customWidth="1"/>
    <col min="5384" max="5632" width="9.140625" style="1"/>
    <col min="5633" max="5633" width="34.85546875" style="1" bestFit="1" customWidth="1"/>
    <col min="5634" max="5634" width="12" style="1" customWidth="1"/>
    <col min="5635" max="5635" width="12.5703125" style="1" customWidth="1"/>
    <col min="5636" max="5636" width="12.28515625" style="1" customWidth="1"/>
    <col min="5637" max="5637" width="11.28515625" style="1" customWidth="1"/>
    <col min="5638" max="5638" width="16.140625" style="1" customWidth="1"/>
    <col min="5639" max="5639" width="20.42578125" style="1" customWidth="1"/>
    <col min="5640" max="5888" width="9.140625" style="1"/>
    <col min="5889" max="5889" width="34.85546875" style="1" bestFit="1" customWidth="1"/>
    <col min="5890" max="5890" width="12" style="1" customWidth="1"/>
    <col min="5891" max="5891" width="12.5703125" style="1" customWidth="1"/>
    <col min="5892" max="5892" width="12.28515625" style="1" customWidth="1"/>
    <col min="5893" max="5893" width="11.28515625" style="1" customWidth="1"/>
    <col min="5894" max="5894" width="16.140625" style="1" customWidth="1"/>
    <col min="5895" max="5895" width="20.42578125" style="1" customWidth="1"/>
    <col min="5896" max="6144" width="9.140625" style="1"/>
    <col min="6145" max="6145" width="34.85546875" style="1" bestFit="1" customWidth="1"/>
    <col min="6146" max="6146" width="12" style="1" customWidth="1"/>
    <col min="6147" max="6147" width="12.5703125" style="1" customWidth="1"/>
    <col min="6148" max="6148" width="12.28515625" style="1" customWidth="1"/>
    <col min="6149" max="6149" width="11.28515625" style="1" customWidth="1"/>
    <col min="6150" max="6150" width="16.140625" style="1" customWidth="1"/>
    <col min="6151" max="6151" width="20.42578125" style="1" customWidth="1"/>
    <col min="6152" max="6400" width="9.140625" style="1"/>
    <col min="6401" max="6401" width="34.85546875" style="1" bestFit="1" customWidth="1"/>
    <col min="6402" max="6402" width="12" style="1" customWidth="1"/>
    <col min="6403" max="6403" width="12.5703125" style="1" customWidth="1"/>
    <col min="6404" max="6404" width="12.28515625" style="1" customWidth="1"/>
    <col min="6405" max="6405" width="11.28515625" style="1" customWidth="1"/>
    <col min="6406" max="6406" width="16.140625" style="1" customWidth="1"/>
    <col min="6407" max="6407" width="20.42578125" style="1" customWidth="1"/>
    <col min="6408" max="6656" width="9.140625" style="1"/>
    <col min="6657" max="6657" width="34.85546875" style="1" bestFit="1" customWidth="1"/>
    <col min="6658" max="6658" width="12" style="1" customWidth="1"/>
    <col min="6659" max="6659" width="12.5703125" style="1" customWidth="1"/>
    <col min="6660" max="6660" width="12.28515625" style="1" customWidth="1"/>
    <col min="6661" max="6661" width="11.28515625" style="1" customWidth="1"/>
    <col min="6662" max="6662" width="16.140625" style="1" customWidth="1"/>
    <col min="6663" max="6663" width="20.42578125" style="1" customWidth="1"/>
    <col min="6664" max="6912" width="9.140625" style="1"/>
    <col min="6913" max="6913" width="34.85546875" style="1" bestFit="1" customWidth="1"/>
    <col min="6914" max="6914" width="12" style="1" customWidth="1"/>
    <col min="6915" max="6915" width="12.5703125" style="1" customWidth="1"/>
    <col min="6916" max="6916" width="12.28515625" style="1" customWidth="1"/>
    <col min="6917" max="6917" width="11.28515625" style="1" customWidth="1"/>
    <col min="6918" max="6918" width="16.140625" style="1" customWidth="1"/>
    <col min="6919" max="6919" width="20.42578125" style="1" customWidth="1"/>
    <col min="6920" max="7168" width="9.140625" style="1"/>
    <col min="7169" max="7169" width="34.85546875" style="1" bestFit="1" customWidth="1"/>
    <col min="7170" max="7170" width="12" style="1" customWidth="1"/>
    <col min="7171" max="7171" width="12.5703125" style="1" customWidth="1"/>
    <col min="7172" max="7172" width="12.28515625" style="1" customWidth="1"/>
    <col min="7173" max="7173" width="11.28515625" style="1" customWidth="1"/>
    <col min="7174" max="7174" width="16.140625" style="1" customWidth="1"/>
    <col min="7175" max="7175" width="20.42578125" style="1" customWidth="1"/>
    <col min="7176" max="7424" width="9.140625" style="1"/>
    <col min="7425" max="7425" width="34.85546875" style="1" bestFit="1" customWidth="1"/>
    <col min="7426" max="7426" width="12" style="1" customWidth="1"/>
    <col min="7427" max="7427" width="12.5703125" style="1" customWidth="1"/>
    <col min="7428" max="7428" width="12.28515625" style="1" customWidth="1"/>
    <col min="7429" max="7429" width="11.28515625" style="1" customWidth="1"/>
    <col min="7430" max="7430" width="16.140625" style="1" customWidth="1"/>
    <col min="7431" max="7431" width="20.42578125" style="1" customWidth="1"/>
    <col min="7432" max="7680" width="9.140625" style="1"/>
    <col min="7681" max="7681" width="34.85546875" style="1" bestFit="1" customWidth="1"/>
    <col min="7682" max="7682" width="12" style="1" customWidth="1"/>
    <col min="7683" max="7683" width="12.5703125" style="1" customWidth="1"/>
    <col min="7684" max="7684" width="12.28515625" style="1" customWidth="1"/>
    <col min="7685" max="7685" width="11.28515625" style="1" customWidth="1"/>
    <col min="7686" max="7686" width="16.140625" style="1" customWidth="1"/>
    <col min="7687" max="7687" width="20.42578125" style="1" customWidth="1"/>
    <col min="7688" max="7936" width="9.140625" style="1"/>
    <col min="7937" max="7937" width="34.85546875" style="1" bestFit="1" customWidth="1"/>
    <col min="7938" max="7938" width="12" style="1" customWidth="1"/>
    <col min="7939" max="7939" width="12.5703125" style="1" customWidth="1"/>
    <col min="7940" max="7940" width="12.28515625" style="1" customWidth="1"/>
    <col min="7941" max="7941" width="11.28515625" style="1" customWidth="1"/>
    <col min="7942" max="7942" width="16.140625" style="1" customWidth="1"/>
    <col min="7943" max="7943" width="20.42578125" style="1" customWidth="1"/>
    <col min="7944" max="8192" width="9.140625" style="1"/>
    <col min="8193" max="8193" width="34.85546875" style="1" bestFit="1" customWidth="1"/>
    <col min="8194" max="8194" width="12" style="1" customWidth="1"/>
    <col min="8195" max="8195" width="12.5703125" style="1" customWidth="1"/>
    <col min="8196" max="8196" width="12.28515625" style="1" customWidth="1"/>
    <col min="8197" max="8197" width="11.28515625" style="1" customWidth="1"/>
    <col min="8198" max="8198" width="16.140625" style="1" customWidth="1"/>
    <col min="8199" max="8199" width="20.42578125" style="1" customWidth="1"/>
    <col min="8200" max="8448" width="9.140625" style="1"/>
    <col min="8449" max="8449" width="34.85546875" style="1" bestFit="1" customWidth="1"/>
    <col min="8450" max="8450" width="12" style="1" customWidth="1"/>
    <col min="8451" max="8451" width="12.5703125" style="1" customWidth="1"/>
    <col min="8452" max="8452" width="12.28515625" style="1" customWidth="1"/>
    <col min="8453" max="8453" width="11.28515625" style="1" customWidth="1"/>
    <col min="8454" max="8454" width="16.140625" style="1" customWidth="1"/>
    <col min="8455" max="8455" width="20.42578125" style="1" customWidth="1"/>
    <col min="8456" max="8704" width="9.140625" style="1"/>
    <col min="8705" max="8705" width="34.85546875" style="1" bestFit="1" customWidth="1"/>
    <col min="8706" max="8706" width="12" style="1" customWidth="1"/>
    <col min="8707" max="8707" width="12.5703125" style="1" customWidth="1"/>
    <col min="8708" max="8708" width="12.28515625" style="1" customWidth="1"/>
    <col min="8709" max="8709" width="11.28515625" style="1" customWidth="1"/>
    <col min="8710" max="8710" width="16.140625" style="1" customWidth="1"/>
    <col min="8711" max="8711" width="20.42578125" style="1" customWidth="1"/>
    <col min="8712" max="8960" width="9.140625" style="1"/>
    <col min="8961" max="8961" width="34.85546875" style="1" bestFit="1" customWidth="1"/>
    <col min="8962" max="8962" width="12" style="1" customWidth="1"/>
    <col min="8963" max="8963" width="12.5703125" style="1" customWidth="1"/>
    <col min="8964" max="8964" width="12.28515625" style="1" customWidth="1"/>
    <col min="8965" max="8965" width="11.28515625" style="1" customWidth="1"/>
    <col min="8966" max="8966" width="16.140625" style="1" customWidth="1"/>
    <col min="8967" max="8967" width="20.42578125" style="1" customWidth="1"/>
    <col min="8968" max="9216" width="9.140625" style="1"/>
    <col min="9217" max="9217" width="34.85546875" style="1" bestFit="1" customWidth="1"/>
    <col min="9218" max="9218" width="12" style="1" customWidth="1"/>
    <col min="9219" max="9219" width="12.5703125" style="1" customWidth="1"/>
    <col min="9220" max="9220" width="12.28515625" style="1" customWidth="1"/>
    <col min="9221" max="9221" width="11.28515625" style="1" customWidth="1"/>
    <col min="9222" max="9222" width="16.140625" style="1" customWidth="1"/>
    <col min="9223" max="9223" width="20.42578125" style="1" customWidth="1"/>
    <col min="9224" max="9472" width="9.140625" style="1"/>
    <col min="9473" max="9473" width="34.85546875" style="1" bestFit="1" customWidth="1"/>
    <col min="9474" max="9474" width="12" style="1" customWidth="1"/>
    <col min="9475" max="9475" width="12.5703125" style="1" customWidth="1"/>
    <col min="9476" max="9476" width="12.28515625" style="1" customWidth="1"/>
    <col min="9477" max="9477" width="11.28515625" style="1" customWidth="1"/>
    <col min="9478" max="9478" width="16.140625" style="1" customWidth="1"/>
    <col min="9479" max="9479" width="20.42578125" style="1" customWidth="1"/>
    <col min="9480" max="9728" width="9.140625" style="1"/>
    <col min="9729" max="9729" width="34.85546875" style="1" bestFit="1" customWidth="1"/>
    <col min="9730" max="9730" width="12" style="1" customWidth="1"/>
    <col min="9731" max="9731" width="12.5703125" style="1" customWidth="1"/>
    <col min="9732" max="9732" width="12.28515625" style="1" customWidth="1"/>
    <col min="9733" max="9733" width="11.28515625" style="1" customWidth="1"/>
    <col min="9734" max="9734" width="16.140625" style="1" customWidth="1"/>
    <col min="9735" max="9735" width="20.42578125" style="1" customWidth="1"/>
    <col min="9736" max="9984" width="9.140625" style="1"/>
    <col min="9985" max="9985" width="34.85546875" style="1" bestFit="1" customWidth="1"/>
    <col min="9986" max="9986" width="12" style="1" customWidth="1"/>
    <col min="9987" max="9987" width="12.5703125" style="1" customWidth="1"/>
    <col min="9988" max="9988" width="12.28515625" style="1" customWidth="1"/>
    <col min="9989" max="9989" width="11.28515625" style="1" customWidth="1"/>
    <col min="9990" max="9990" width="16.140625" style="1" customWidth="1"/>
    <col min="9991" max="9991" width="20.42578125" style="1" customWidth="1"/>
    <col min="9992" max="10240" width="9.140625" style="1"/>
    <col min="10241" max="10241" width="34.85546875" style="1" bestFit="1" customWidth="1"/>
    <col min="10242" max="10242" width="12" style="1" customWidth="1"/>
    <col min="10243" max="10243" width="12.5703125" style="1" customWidth="1"/>
    <col min="10244" max="10244" width="12.28515625" style="1" customWidth="1"/>
    <col min="10245" max="10245" width="11.28515625" style="1" customWidth="1"/>
    <col min="10246" max="10246" width="16.140625" style="1" customWidth="1"/>
    <col min="10247" max="10247" width="20.42578125" style="1" customWidth="1"/>
    <col min="10248" max="10496" width="9.140625" style="1"/>
    <col min="10497" max="10497" width="34.85546875" style="1" bestFit="1" customWidth="1"/>
    <col min="10498" max="10498" width="12" style="1" customWidth="1"/>
    <col min="10499" max="10499" width="12.5703125" style="1" customWidth="1"/>
    <col min="10500" max="10500" width="12.28515625" style="1" customWidth="1"/>
    <col min="10501" max="10501" width="11.28515625" style="1" customWidth="1"/>
    <col min="10502" max="10502" width="16.140625" style="1" customWidth="1"/>
    <col min="10503" max="10503" width="20.42578125" style="1" customWidth="1"/>
    <col min="10504" max="10752" width="9.140625" style="1"/>
    <col min="10753" max="10753" width="34.85546875" style="1" bestFit="1" customWidth="1"/>
    <col min="10754" max="10754" width="12" style="1" customWidth="1"/>
    <col min="10755" max="10755" width="12.5703125" style="1" customWidth="1"/>
    <col min="10756" max="10756" width="12.28515625" style="1" customWidth="1"/>
    <col min="10757" max="10757" width="11.28515625" style="1" customWidth="1"/>
    <col min="10758" max="10758" width="16.140625" style="1" customWidth="1"/>
    <col min="10759" max="10759" width="20.42578125" style="1" customWidth="1"/>
    <col min="10760" max="11008" width="9.140625" style="1"/>
    <col min="11009" max="11009" width="34.85546875" style="1" bestFit="1" customWidth="1"/>
    <col min="11010" max="11010" width="12" style="1" customWidth="1"/>
    <col min="11011" max="11011" width="12.5703125" style="1" customWidth="1"/>
    <col min="11012" max="11012" width="12.28515625" style="1" customWidth="1"/>
    <col min="11013" max="11013" width="11.28515625" style="1" customWidth="1"/>
    <col min="11014" max="11014" width="16.140625" style="1" customWidth="1"/>
    <col min="11015" max="11015" width="20.42578125" style="1" customWidth="1"/>
    <col min="11016" max="11264" width="9.140625" style="1"/>
    <col min="11265" max="11265" width="34.85546875" style="1" bestFit="1" customWidth="1"/>
    <col min="11266" max="11266" width="12" style="1" customWidth="1"/>
    <col min="11267" max="11267" width="12.5703125" style="1" customWidth="1"/>
    <col min="11268" max="11268" width="12.28515625" style="1" customWidth="1"/>
    <col min="11269" max="11269" width="11.28515625" style="1" customWidth="1"/>
    <col min="11270" max="11270" width="16.140625" style="1" customWidth="1"/>
    <col min="11271" max="11271" width="20.42578125" style="1" customWidth="1"/>
    <col min="11272" max="11520" width="9.140625" style="1"/>
    <col min="11521" max="11521" width="34.85546875" style="1" bestFit="1" customWidth="1"/>
    <col min="11522" max="11522" width="12" style="1" customWidth="1"/>
    <col min="11523" max="11523" width="12.5703125" style="1" customWidth="1"/>
    <col min="11524" max="11524" width="12.28515625" style="1" customWidth="1"/>
    <col min="11525" max="11525" width="11.28515625" style="1" customWidth="1"/>
    <col min="11526" max="11526" width="16.140625" style="1" customWidth="1"/>
    <col min="11527" max="11527" width="20.42578125" style="1" customWidth="1"/>
    <col min="11528" max="11776" width="9.140625" style="1"/>
    <col min="11777" max="11777" width="34.85546875" style="1" bestFit="1" customWidth="1"/>
    <col min="11778" max="11778" width="12" style="1" customWidth="1"/>
    <col min="11779" max="11779" width="12.5703125" style="1" customWidth="1"/>
    <col min="11780" max="11780" width="12.28515625" style="1" customWidth="1"/>
    <col min="11781" max="11781" width="11.28515625" style="1" customWidth="1"/>
    <col min="11782" max="11782" width="16.140625" style="1" customWidth="1"/>
    <col min="11783" max="11783" width="20.42578125" style="1" customWidth="1"/>
    <col min="11784" max="12032" width="9.140625" style="1"/>
    <col min="12033" max="12033" width="34.85546875" style="1" bestFit="1" customWidth="1"/>
    <col min="12034" max="12034" width="12" style="1" customWidth="1"/>
    <col min="12035" max="12035" width="12.5703125" style="1" customWidth="1"/>
    <col min="12036" max="12036" width="12.28515625" style="1" customWidth="1"/>
    <col min="12037" max="12037" width="11.28515625" style="1" customWidth="1"/>
    <col min="12038" max="12038" width="16.140625" style="1" customWidth="1"/>
    <col min="12039" max="12039" width="20.42578125" style="1" customWidth="1"/>
    <col min="12040" max="12288" width="9.140625" style="1"/>
    <col min="12289" max="12289" width="34.85546875" style="1" bestFit="1" customWidth="1"/>
    <col min="12290" max="12290" width="12" style="1" customWidth="1"/>
    <col min="12291" max="12291" width="12.5703125" style="1" customWidth="1"/>
    <col min="12292" max="12292" width="12.28515625" style="1" customWidth="1"/>
    <col min="12293" max="12293" width="11.28515625" style="1" customWidth="1"/>
    <col min="12294" max="12294" width="16.140625" style="1" customWidth="1"/>
    <col min="12295" max="12295" width="20.42578125" style="1" customWidth="1"/>
    <col min="12296" max="12544" width="9.140625" style="1"/>
    <col min="12545" max="12545" width="34.85546875" style="1" bestFit="1" customWidth="1"/>
    <col min="12546" max="12546" width="12" style="1" customWidth="1"/>
    <col min="12547" max="12547" width="12.5703125" style="1" customWidth="1"/>
    <col min="12548" max="12548" width="12.28515625" style="1" customWidth="1"/>
    <col min="12549" max="12549" width="11.28515625" style="1" customWidth="1"/>
    <col min="12550" max="12550" width="16.140625" style="1" customWidth="1"/>
    <col min="12551" max="12551" width="20.42578125" style="1" customWidth="1"/>
    <col min="12552" max="12800" width="9.140625" style="1"/>
    <col min="12801" max="12801" width="34.85546875" style="1" bestFit="1" customWidth="1"/>
    <col min="12802" max="12802" width="12" style="1" customWidth="1"/>
    <col min="12803" max="12803" width="12.5703125" style="1" customWidth="1"/>
    <col min="12804" max="12804" width="12.28515625" style="1" customWidth="1"/>
    <col min="12805" max="12805" width="11.28515625" style="1" customWidth="1"/>
    <col min="12806" max="12806" width="16.140625" style="1" customWidth="1"/>
    <col min="12807" max="12807" width="20.42578125" style="1" customWidth="1"/>
    <col min="12808" max="13056" width="9.140625" style="1"/>
    <col min="13057" max="13057" width="34.85546875" style="1" bestFit="1" customWidth="1"/>
    <col min="13058" max="13058" width="12" style="1" customWidth="1"/>
    <col min="13059" max="13059" width="12.5703125" style="1" customWidth="1"/>
    <col min="13060" max="13060" width="12.28515625" style="1" customWidth="1"/>
    <col min="13061" max="13061" width="11.28515625" style="1" customWidth="1"/>
    <col min="13062" max="13062" width="16.140625" style="1" customWidth="1"/>
    <col min="13063" max="13063" width="20.42578125" style="1" customWidth="1"/>
    <col min="13064" max="13312" width="9.140625" style="1"/>
    <col min="13313" max="13313" width="34.85546875" style="1" bestFit="1" customWidth="1"/>
    <col min="13314" max="13314" width="12" style="1" customWidth="1"/>
    <col min="13315" max="13315" width="12.5703125" style="1" customWidth="1"/>
    <col min="13316" max="13316" width="12.28515625" style="1" customWidth="1"/>
    <col min="13317" max="13317" width="11.28515625" style="1" customWidth="1"/>
    <col min="13318" max="13318" width="16.140625" style="1" customWidth="1"/>
    <col min="13319" max="13319" width="20.42578125" style="1" customWidth="1"/>
    <col min="13320" max="13568" width="9.140625" style="1"/>
    <col min="13569" max="13569" width="34.85546875" style="1" bestFit="1" customWidth="1"/>
    <col min="13570" max="13570" width="12" style="1" customWidth="1"/>
    <col min="13571" max="13571" width="12.5703125" style="1" customWidth="1"/>
    <col min="13572" max="13572" width="12.28515625" style="1" customWidth="1"/>
    <col min="13573" max="13573" width="11.28515625" style="1" customWidth="1"/>
    <col min="13574" max="13574" width="16.140625" style="1" customWidth="1"/>
    <col min="13575" max="13575" width="20.42578125" style="1" customWidth="1"/>
    <col min="13576" max="13824" width="9.140625" style="1"/>
    <col min="13825" max="13825" width="34.85546875" style="1" bestFit="1" customWidth="1"/>
    <col min="13826" max="13826" width="12" style="1" customWidth="1"/>
    <col min="13827" max="13827" width="12.5703125" style="1" customWidth="1"/>
    <col min="13828" max="13828" width="12.28515625" style="1" customWidth="1"/>
    <col min="13829" max="13829" width="11.28515625" style="1" customWidth="1"/>
    <col min="13830" max="13830" width="16.140625" style="1" customWidth="1"/>
    <col min="13831" max="13831" width="20.42578125" style="1" customWidth="1"/>
    <col min="13832" max="14080" width="9.140625" style="1"/>
    <col min="14081" max="14081" width="34.85546875" style="1" bestFit="1" customWidth="1"/>
    <col min="14082" max="14082" width="12" style="1" customWidth="1"/>
    <col min="14083" max="14083" width="12.5703125" style="1" customWidth="1"/>
    <col min="14084" max="14084" width="12.28515625" style="1" customWidth="1"/>
    <col min="14085" max="14085" width="11.28515625" style="1" customWidth="1"/>
    <col min="14086" max="14086" width="16.140625" style="1" customWidth="1"/>
    <col min="14087" max="14087" width="20.42578125" style="1" customWidth="1"/>
    <col min="14088" max="14336" width="9.140625" style="1"/>
    <col min="14337" max="14337" width="34.85546875" style="1" bestFit="1" customWidth="1"/>
    <col min="14338" max="14338" width="12" style="1" customWidth="1"/>
    <col min="14339" max="14339" width="12.5703125" style="1" customWidth="1"/>
    <col min="14340" max="14340" width="12.28515625" style="1" customWidth="1"/>
    <col min="14341" max="14341" width="11.28515625" style="1" customWidth="1"/>
    <col min="14342" max="14342" width="16.140625" style="1" customWidth="1"/>
    <col min="14343" max="14343" width="20.42578125" style="1" customWidth="1"/>
    <col min="14344" max="14592" width="9.140625" style="1"/>
    <col min="14593" max="14593" width="34.85546875" style="1" bestFit="1" customWidth="1"/>
    <col min="14594" max="14594" width="12" style="1" customWidth="1"/>
    <col min="14595" max="14595" width="12.5703125" style="1" customWidth="1"/>
    <col min="14596" max="14596" width="12.28515625" style="1" customWidth="1"/>
    <col min="14597" max="14597" width="11.28515625" style="1" customWidth="1"/>
    <col min="14598" max="14598" width="16.140625" style="1" customWidth="1"/>
    <col min="14599" max="14599" width="20.42578125" style="1" customWidth="1"/>
    <col min="14600" max="14848" width="9.140625" style="1"/>
    <col min="14849" max="14849" width="34.85546875" style="1" bestFit="1" customWidth="1"/>
    <col min="14850" max="14850" width="12" style="1" customWidth="1"/>
    <col min="14851" max="14851" width="12.5703125" style="1" customWidth="1"/>
    <col min="14852" max="14852" width="12.28515625" style="1" customWidth="1"/>
    <col min="14853" max="14853" width="11.28515625" style="1" customWidth="1"/>
    <col min="14854" max="14854" width="16.140625" style="1" customWidth="1"/>
    <col min="14855" max="14855" width="20.42578125" style="1" customWidth="1"/>
    <col min="14856" max="15104" width="9.140625" style="1"/>
    <col min="15105" max="15105" width="34.85546875" style="1" bestFit="1" customWidth="1"/>
    <col min="15106" max="15106" width="12" style="1" customWidth="1"/>
    <col min="15107" max="15107" width="12.5703125" style="1" customWidth="1"/>
    <col min="15108" max="15108" width="12.28515625" style="1" customWidth="1"/>
    <col min="15109" max="15109" width="11.28515625" style="1" customWidth="1"/>
    <col min="15110" max="15110" width="16.140625" style="1" customWidth="1"/>
    <col min="15111" max="15111" width="20.42578125" style="1" customWidth="1"/>
    <col min="15112" max="15360" width="9.140625" style="1"/>
    <col min="15361" max="15361" width="34.85546875" style="1" bestFit="1" customWidth="1"/>
    <col min="15362" max="15362" width="12" style="1" customWidth="1"/>
    <col min="15363" max="15363" width="12.5703125" style="1" customWidth="1"/>
    <col min="15364" max="15364" width="12.28515625" style="1" customWidth="1"/>
    <col min="15365" max="15365" width="11.28515625" style="1" customWidth="1"/>
    <col min="15366" max="15366" width="16.140625" style="1" customWidth="1"/>
    <col min="15367" max="15367" width="20.42578125" style="1" customWidth="1"/>
    <col min="15368" max="15616" width="9.140625" style="1"/>
    <col min="15617" max="15617" width="34.85546875" style="1" bestFit="1" customWidth="1"/>
    <col min="15618" max="15618" width="12" style="1" customWidth="1"/>
    <col min="15619" max="15619" width="12.5703125" style="1" customWidth="1"/>
    <col min="15620" max="15620" width="12.28515625" style="1" customWidth="1"/>
    <col min="15621" max="15621" width="11.28515625" style="1" customWidth="1"/>
    <col min="15622" max="15622" width="16.140625" style="1" customWidth="1"/>
    <col min="15623" max="15623" width="20.42578125" style="1" customWidth="1"/>
    <col min="15624" max="15872" width="9.140625" style="1"/>
    <col min="15873" max="15873" width="34.85546875" style="1" bestFit="1" customWidth="1"/>
    <col min="15874" max="15874" width="12" style="1" customWidth="1"/>
    <col min="15875" max="15875" width="12.5703125" style="1" customWidth="1"/>
    <col min="15876" max="15876" width="12.28515625" style="1" customWidth="1"/>
    <col min="15877" max="15877" width="11.28515625" style="1" customWidth="1"/>
    <col min="15878" max="15878" width="16.140625" style="1" customWidth="1"/>
    <col min="15879" max="15879" width="20.42578125" style="1" customWidth="1"/>
    <col min="15880" max="16128" width="9.140625" style="1"/>
    <col min="16129" max="16129" width="34.85546875" style="1" bestFit="1" customWidth="1"/>
    <col min="16130" max="16130" width="12" style="1" customWidth="1"/>
    <col min="16131" max="16131" width="12.5703125" style="1" customWidth="1"/>
    <col min="16132" max="16132" width="12.28515625" style="1" customWidth="1"/>
    <col min="16133" max="16133" width="11.28515625" style="1" customWidth="1"/>
    <col min="16134" max="16134" width="16.140625" style="1" customWidth="1"/>
    <col min="16135" max="16135" width="20.42578125" style="1" customWidth="1"/>
    <col min="16136" max="16384" width="9.140625" style="1"/>
  </cols>
  <sheetData>
    <row r="1" spans="1:7" x14ac:dyDescent="0.3">
      <c r="A1" s="145" t="s">
        <v>113</v>
      </c>
      <c r="B1" s="145"/>
      <c r="C1" s="145"/>
      <c r="D1" s="145"/>
      <c r="E1" s="145"/>
      <c r="F1" s="145"/>
      <c r="G1" s="145"/>
    </row>
    <row r="2" spans="1:7" ht="69" customHeight="1" x14ac:dyDescent="0.3">
      <c r="A2" s="146" t="s">
        <v>137</v>
      </c>
      <c r="B2" s="146"/>
      <c r="C2" s="146"/>
      <c r="D2" s="146"/>
      <c r="E2" s="146"/>
      <c r="F2" s="146"/>
      <c r="G2" s="146"/>
    </row>
    <row r="3" spans="1:7" x14ac:dyDescent="0.3">
      <c r="A3" s="146"/>
      <c r="B3" s="146"/>
      <c r="C3" s="146"/>
      <c r="D3" s="146"/>
      <c r="E3" s="146"/>
      <c r="F3" s="146"/>
      <c r="G3" s="146"/>
    </row>
    <row r="4" spans="1:7" x14ac:dyDescent="0.3">
      <c r="A4" s="146" t="s">
        <v>72</v>
      </c>
      <c r="B4" s="146"/>
      <c r="C4" s="146"/>
      <c r="D4" s="146"/>
      <c r="E4" s="146"/>
      <c r="F4" s="146"/>
      <c r="G4" s="146"/>
    </row>
    <row r="5" spans="1:7" x14ac:dyDescent="0.3">
      <c r="A5" s="59" t="s">
        <v>109</v>
      </c>
    </row>
    <row r="6" spans="1:7" ht="18" customHeight="1" x14ac:dyDescent="0.3">
      <c r="A6" s="144" t="s">
        <v>117</v>
      </c>
      <c r="B6" s="144"/>
      <c r="C6" s="144"/>
      <c r="D6" s="144"/>
      <c r="E6" s="144"/>
      <c r="F6" s="144"/>
      <c r="G6" s="144"/>
    </row>
    <row r="7" spans="1:7" ht="30" x14ac:dyDescent="0.3">
      <c r="A7" s="138" t="s">
        <v>0</v>
      </c>
      <c r="B7" s="134" t="s">
        <v>1</v>
      </c>
      <c r="C7" s="135"/>
      <c r="D7" s="138" t="s">
        <v>2</v>
      </c>
      <c r="E7" s="138" t="s">
        <v>3</v>
      </c>
      <c r="F7" s="138" t="s">
        <v>30</v>
      </c>
      <c r="G7" s="17" t="s">
        <v>5</v>
      </c>
    </row>
    <row r="8" spans="1:7" x14ac:dyDescent="0.3">
      <c r="A8" s="131"/>
      <c r="B8" s="60" t="s">
        <v>6</v>
      </c>
      <c r="C8" s="60" t="s">
        <v>7</v>
      </c>
      <c r="D8" s="131"/>
      <c r="E8" s="131"/>
      <c r="F8" s="131"/>
      <c r="G8" s="60" t="s">
        <v>8</v>
      </c>
    </row>
    <row r="9" spans="1:7" s="7" customFormat="1" x14ac:dyDescent="0.3">
      <c r="A9" s="18" t="s">
        <v>39</v>
      </c>
      <c r="B9" s="61">
        <v>80</v>
      </c>
      <c r="C9" s="61">
        <f>B9*100%</f>
        <v>80</v>
      </c>
      <c r="D9" s="61">
        <f>C9*10%</f>
        <v>8</v>
      </c>
      <c r="E9" s="61">
        <f>C9*1.3%</f>
        <v>1.04</v>
      </c>
      <c r="F9" s="61">
        <f>C9*69%</f>
        <v>55.199999999999996</v>
      </c>
      <c r="G9" s="61">
        <f>4*(D9+F9)+9*E9</f>
        <v>262.15999999999997</v>
      </c>
    </row>
    <row r="10" spans="1:7" x14ac:dyDescent="0.3">
      <c r="A10" s="18" t="s">
        <v>10</v>
      </c>
      <c r="B10" s="61">
        <v>4</v>
      </c>
      <c r="C10" s="61">
        <f>100%*B10</f>
        <v>4</v>
      </c>
      <c r="D10" s="61"/>
      <c r="E10" s="61"/>
      <c r="F10" s="61">
        <f>99%*C10</f>
        <v>3.96</v>
      </c>
      <c r="G10" s="61">
        <f>4*(D10+F10)+9*E10</f>
        <v>15.84</v>
      </c>
    </row>
    <row r="11" spans="1:7" x14ac:dyDescent="0.3">
      <c r="A11" s="18" t="s">
        <v>24</v>
      </c>
      <c r="B11" s="61">
        <v>5</v>
      </c>
      <c r="C11" s="61">
        <f>100%*B11</f>
        <v>5</v>
      </c>
      <c r="D11" s="61"/>
      <c r="E11" s="61">
        <f>99.9%*C11</f>
        <v>4.995000000000001</v>
      </c>
      <c r="F11" s="61"/>
      <c r="G11" s="61">
        <f>4*(D11+F11)+9*E11</f>
        <v>44.955000000000013</v>
      </c>
    </row>
    <row r="12" spans="1:7" x14ac:dyDescent="0.3">
      <c r="A12" s="18" t="s">
        <v>11</v>
      </c>
      <c r="B12" s="62">
        <v>2</v>
      </c>
      <c r="C12" s="62">
        <f>100%*B12</f>
        <v>2</v>
      </c>
      <c r="D12" s="62"/>
      <c r="E12" s="62"/>
      <c r="F12" s="62"/>
      <c r="G12" s="62">
        <f>4*(D12+F12)+9*E12</f>
        <v>0</v>
      </c>
    </row>
    <row r="13" spans="1:7" x14ac:dyDescent="0.3">
      <c r="A13" s="63" t="s">
        <v>41</v>
      </c>
      <c r="B13" s="62">
        <v>1</v>
      </c>
      <c r="C13" s="62">
        <f>100%*B13</f>
        <v>1</v>
      </c>
      <c r="D13" s="62"/>
      <c r="E13" s="62"/>
      <c r="F13" s="62"/>
      <c r="G13" s="62"/>
    </row>
    <row r="14" spans="1:7" x14ac:dyDescent="0.3">
      <c r="A14" s="18" t="s">
        <v>23</v>
      </c>
      <c r="B14" s="61">
        <v>105</v>
      </c>
      <c r="C14" s="61">
        <f>72%*B14</f>
        <v>75.599999999999994</v>
      </c>
      <c r="D14" s="61">
        <f>2.1%*C14</f>
        <v>1.5875999999999999</v>
      </c>
      <c r="E14" s="61">
        <f>0.4%*C14</f>
        <v>0.3024</v>
      </c>
      <c r="F14" s="61">
        <f>15.6%*C14</f>
        <v>11.7936</v>
      </c>
      <c r="G14" s="61">
        <f>4*(D14+F14)+9*E14</f>
        <v>56.246400000000001</v>
      </c>
    </row>
    <row r="15" spans="1:7" x14ac:dyDescent="0.3">
      <c r="A15" s="18" t="s">
        <v>21</v>
      </c>
      <c r="B15" s="62">
        <v>7</v>
      </c>
      <c r="C15" s="62">
        <f>90%*B15</f>
        <v>6.3</v>
      </c>
      <c r="D15" s="62">
        <f>1.58%*C15</f>
        <v>9.9540000000000003E-2</v>
      </c>
      <c r="E15" s="62"/>
      <c r="F15" s="62">
        <f>9.5%*C15</f>
        <v>0.59850000000000003</v>
      </c>
      <c r="G15" s="62">
        <f>4*(D15+F15)+9*E15</f>
        <v>2.79216</v>
      </c>
    </row>
    <row r="16" spans="1:7" x14ac:dyDescent="0.3">
      <c r="A16" s="18" t="s">
        <v>50</v>
      </c>
      <c r="B16" s="62">
        <v>1</v>
      </c>
      <c r="C16" s="62">
        <f>100%*B16</f>
        <v>1</v>
      </c>
      <c r="D16" s="62"/>
      <c r="E16" s="62"/>
      <c r="F16" s="62"/>
      <c r="G16" s="62">
        <f>4*(D16+F16)+9*E16</f>
        <v>0</v>
      </c>
    </row>
    <row r="17" spans="1:7" x14ac:dyDescent="0.3">
      <c r="A17" s="64" t="s">
        <v>13</v>
      </c>
      <c r="B17" s="159">
        <v>150</v>
      </c>
      <c r="C17" s="160"/>
      <c r="D17" s="65">
        <f>SUM(D9:D16)</f>
        <v>9.6871399999999994</v>
      </c>
      <c r="E17" s="65">
        <f>SUM(E9:E16)</f>
        <v>6.3374000000000006</v>
      </c>
      <c r="F17" s="65">
        <f>SUM(F9:F16)</f>
        <v>71.552099999999996</v>
      </c>
      <c r="G17" s="65">
        <f>SUM(G9:G16)</f>
        <v>381.99355999999995</v>
      </c>
    </row>
    <row r="18" spans="1:7" x14ac:dyDescent="0.3">
      <c r="A18" s="64"/>
      <c r="B18" s="66"/>
      <c r="C18" s="67"/>
      <c r="D18" s="68"/>
      <c r="E18" s="68"/>
      <c r="F18" s="65"/>
      <c r="G18" s="65"/>
    </row>
    <row r="19" spans="1:7" ht="24.75" customHeight="1" x14ac:dyDescent="0.3">
      <c r="A19" s="126" t="s">
        <v>0</v>
      </c>
      <c r="B19" s="126" t="s">
        <v>1</v>
      </c>
      <c r="C19" s="126"/>
      <c r="D19" s="138" t="s">
        <v>2</v>
      </c>
      <c r="E19" s="138" t="s">
        <v>3</v>
      </c>
      <c r="F19" s="126" t="s">
        <v>30</v>
      </c>
      <c r="G19" s="17" t="s">
        <v>5</v>
      </c>
    </row>
    <row r="20" spans="1:7" x14ac:dyDescent="0.3">
      <c r="A20" s="126"/>
      <c r="B20" s="17" t="s">
        <v>6</v>
      </c>
      <c r="C20" s="17" t="s">
        <v>7</v>
      </c>
      <c r="D20" s="131"/>
      <c r="E20" s="131"/>
      <c r="F20" s="126"/>
      <c r="G20" s="17" t="s">
        <v>8</v>
      </c>
    </row>
    <row r="21" spans="1:7" x14ac:dyDescent="0.3">
      <c r="A21" s="18" t="s">
        <v>48</v>
      </c>
      <c r="B21" s="3">
        <v>5</v>
      </c>
      <c r="C21" s="3">
        <f>100%*B21</f>
        <v>5</v>
      </c>
      <c r="D21" s="3">
        <f>20%*C21</f>
        <v>1</v>
      </c>
      <c r="E21" s="3">
        <f>13%*C21</f>
        <v>0.65</v>
      </c>
      <c r="F21" s="3">
        <f>26.6%*C21</f>
        <v>1.33</v>
      </c>
      <c r="G21" s="3">
        <f>4*(D21+F21)+9*E21</f>
        <v>15.170000000000002</v>
      </c>
    </row>
    <row r="22" spans="1:7" x14ac:dyDescent="0.3">
      <c r="A22" s="19" t="s">
        <v>10</v>
      </c>
      <c r="B22" s="3">
        <v>10</v>
      </c>
      <c r="C22" s="3">
        <f>100%*B22</f>
        <v>10</v>
      </c>
      <c r="D22" s="3"/>
      <c r="E22" s="3"/>
      <c r="F22" s="3">
        <f>99%*C22</f>
        <v>9.9</v>
      </c>
      <c r="G22" s="3">
        <f>4*(D22+F22)+9*E22</f>
        <v>39.6</v>
      </c>
    </row>
    <row r="23" spans="1:7" x14ac:dyDescent="0.3">
      <c r="A23" s="17" t="s">
        <v>13</v>
      </c>
      <c r="B23" s="134">
        <v>200</v>
      </c>
      <c r="C23" s="135"/>
      <c r="D23" s="22">
        <f>SUM(D21:D22)</f>
        <v>1</v>
      </c>
      <c r="E23" s="22">
        <f>SUM(E21:E22)</f>
        <v>0.65</v>
      </c>
      <c r="F23" s="22">
        <f>SUM(F21:F22)</f>
        <v>11.23</v>
      </c>
      <c r="G23" s="22">
        <f>SUM(G21:G22)</f>
        <v>54.77</v>
      </c>
    </row>
    <row r="25" spans="1:7" x14ac:dyDescent="0.3">
      <c r="A25" s="69" t="s">
        <v>110</v>
      </c>
      <c r="B25" s="154">
        <f>B23+B17</f>
        <v>350</v>
      </c>
      <c r="C25" s="154"/>
      <c r="D25" s="52">
        <f>D23+D17</f>
        <v>10.687139999999999</v>
      </c>
      <c r="E25" s="52">
        <f t="shared" ref="E25:G25" si="0">E23+E17</f>
        <v>6.9874000000000009</v>
      </c>
      <c r="F25" s="52">
        <f t="shared" si="0"/>
        <v>82.7821</v>
      </c>
      <c r="G25" s="52">
        <f t="shared" si="0"/>
        <v>436.76355999999993</v>
      </c>
    </row>
    <row r="26" spans="1:7" x14ac:dyDescent="0.3">
      <c r="A26" s="70"/>
      <c r="B26" s="45"/>
      <c r="C26" s="45"/>
      <c r="D26" s="53"/>
      <c r="E26" s="53"/>
      <c r="F26" s="53"/>
      <c r="G26" s="53"/>
    </row>
    <row r="27" spans="1:7" x14ac:dyDescent="0.3">
      <c r="A27" s="71" t="s">
        <v>135</v>
      </c>
      <c r="B27" s="45"/>
      <c r="C27" s="45"/>
      <c r="D27" s="53"/>
      <c r="E27" s="53"/>
      <c r="F27" s="53"/>
      <c r="G27" s="53"/>
    </row>
    <row r="28" spans="1:7" x14ac:dyDescent="0.3">
      <c r="A28" s="72"/>
    </row>
    <row r="29" spans="1:7" x14ac:dyDescent="0.3">
      <c r="A29" s="144" t="s">
        <v>118</v>
      </c>
      <c r="B29" s="144"/>
      <c r="C29" s="144"/>
      <c r="D29" s="144"/>
      <c r="E29" s="144"/>
      <c r="F29" s="144"/>
      <c r="G29" s="144"/>
    </row>
    <row r="30" spans="1:7" ht="45.75" customHeight="1" x14ac:dyDescent="0.3">
      <c r="A30" s="126" t="s">
        <v>0</v>
      </c>
      <c r="B30" s="126" t="s">
        <v>1</v>
      </c>
      <c r="C30" s="126"/>
      <c r="D30" s="138" t="s">
        <v>2</v>
      </c>
      <c r="E30" s="138" t="s">
        <v>3</v>
      </c>
      <c r="F30" s="126" t="s">
        <v>30</v>
      </c>
      <c r="G30" s="17" t="s">
        <v>5</v>
      </c>
    </row>
    <row r="31" spans="1:7" x14ac:dyDescent="0.3">
      <c r="A31" s="126"/>
      <c r="B31" s="17" t="s">
        <v>6</v>
      </c>
      <c r="C31" s="17" t="s">
        <v>7</v>
      </c>
      <c r="D31" s="131"/>
      <c r="E31" s="131"/>
      <c r="F31" s="126"/>
      <c r="G31" s="17" t="s">
        <v>8</v>
      </c>
    </row>
    <row r="32" spans="1:7" x14ac:dyDescent="0.3">
      <c r="A32" s="19" t="s">
        <v>119</v>
      </c>
      <c r="B32" s="3">
        <v>125</v>
      </c>
      <c r="C32" s="3">
        <f>95%*B32</f>
        <v>118.75</v>
      </c>
      <c r="D32" s="3">
        <f>17.8%*C32</f>
        <v>21.137500000000003</v>
      </c>
      <c r="E32" s="3">
        <f>10%*C32</f>
        <v>11.875</v>
      </c>
      <c r="F32" s="3"/>
      <c r="G32" s="3">
        <f t="shared" ref="G32:G38" si="1">4*(D32+F32)+9*E32</f>
        <v>191.42500000000001</v>
      </c>
    </row>
    <row r="33" spans="1:7" x14ac:dyDescent="0.3">
      <c r="A33" s="19" t="s">
        <v>50</v>
      </c>
      <c r="B33" s="3">
        <v>0.5</v>
      </c>
      <c r="C33" s="3">
        <f>100%*B33</f>
        <v>0.5</v>
      </c>
      <c r="D33" s="3"/>
      <c r="E33" s="3"/>
      <c r="F33" s="3"/>
      <c r="G33" s="3">
        <f t="shared" si="1"/>
        <v>0</v>
      </c>
    </row>
    <row r="34" spans="1:7" x14ac:dyDescent="0.3">
      <c r="A34" s="19" t="s">
        <v>21</v>
      </c>
      <c r="B34" s="3">
        <v>15</v>
      </c>
      <c r="C34" s="3">
        <f>90%*B34</f>
        <v>13.5</v>
      </c>
      <c r="D34" s="3">
        <f>1.58%*C34</f>
        <v>0.21330000000000002</v>
      </c>
      <c r="E34" s="3"/>
      <c r="F34" s="3">
        <f>9.5%*C34</f>
        <v>1.2825</v>
      </c>
      <c r="G34" s="3">
        <f t="shared" si="1"/>
        <v>5.9832000000000001</v>
      </c>
    </row>
    <row r="35" spans="1:7" x14ac:dyDescent="0.3">
      <c r="A35" s="19" t="s">
        <v>120</v>
      </c>
      <c r="B35" s="3">
        <v>3</v>
      </c>
      <c r="C35" s="3">
        <f>100%*B35</f>
        <v>3</v>
      </c>
      <c r="D35" s="3"/>
      <c r="E35" s="3"/>
      <c r="F35" s="3"/>
      <c r="G35" s="3">
        <f t="shared" si="1"/>
        <v>0</v>
      </c>
    </row>
    <row r="36" spans="1:7" ht="30" x14ac:dyDescent="0.3">
      <c r="A36" s="19" t="s">
        <v>121</v>
      </c>
      <c r="B36" s="3">
        <v>35</v>
      </c>
      <c r="C36" s="3">
        <f>90%*B36</f>
        <v>31.5</v>
      </c>
      <c r="D36" s="3">
        <f>1.58%*C36</f>
        <v>0.49770000000000003</v>
      </c>
      <c r="E36" s="3"/>
      <c r="F36" s="3">
        <f>9.5%*C36</f>
        <v>2.9925000000000002</v>
      </c>
      <c r="G36" s="3">
        <f t="shared" si="1"/>
        <v>13.960800000000001</v>
      </c>
    </row>
    <row r="37" spans="1:7" x14ac:dyDescent="0.3">
      <c r="A37" s="19" t="s">
        <v>122</v>
      </c>
      <c r="B37" s="3">
        <v>35</v>
      </c>
      <c r="C37" s="3">
        <f>100%*B37</f>
        <v>35</v>
      </c>
      <c r="D37" s="3">
        <f>7.9%*C37</f>
        <v>2.7650000000000001</v>
      </c>
      <c r="E37" s="3">
        <f>1%*C37</f>
        <v>0.35000000000000003</v>
      </c>
      <c r="F37" s="3">
        <f>49.5%*C37</f>
        <v>17.324999999999999</v>
      </c>
      <c r="G37" s="3">
        <f t="shared" si="1"/>
        <v>83.51</v>
      </c>
    </row>
    <row r="38" spans="1:7" x14ac:dyDescent="0.3">
      <c r="A38" s="19" t="s">
        <v>11</v>
      </c>
      <c r="B38" s="3">
        <v>1</v>
      </c>
      <c r="C38" s="3">
        <f>100%*B38</f>
        <v>1</v>
      </c>
      <c r="D38" s="3"/>
      <c r="E38" s="3"/>
      <c r="F38" s="3"/>
      <c r="G38" s="3">
        <f t="shared" si="1"/>
        <v>0</v>
      </c>
    </row>
    <row r="39" spans="1:7" x14ac:dyDescent="0.3">
      <c r="A39" s="73" t="s">
        <v>13</v>
      </c>
      <c r="B39" s="134">
        <v>150</v>
      </c>
      <c r="C39" s="135"/>
      <c r="D39" s="38">
        <f t="shared" ref="D39:F39" si="2">SUM(D32:D38)</f>
        <v>24.613500000000002</v>
      </c>
      <c r="E39" s="38">
        <f t="shared" si="2"/>
        <v>12.225</v>
      </c>
      <c r="F39" s="38">
        <f t="shared" si="2"/>
        <v>21.6</v>
      </c>
      <c r="G39" s="38">
        <f>SUM(G32:G38)</f>
        <v>294.87900000000002</v>
      </c>
    </row>
    <row r="42" spans="1:7" x14ac:dyDescent="0.3">
      <c r="A42" s="16" t="s">
        <v>76</v>
      </c>
      <c r="B42" s="57"/>
      <c r="C42" s="57"/>
      <c r="D42" s="57"/>
      <c r="E42" s="57"/>
      <c r="F42" s="57"/>
      <c r="G42" s="57"/>
    </row>
    <row r="43" spans="1:7" ht="30" x14ac:dyDescent="0.3">
      <c r="A43" s="126" t="s">
        <v>0</v>
      </c>
      <c r="B43" s="126" t="s">
        <v>1</v>
      </c>
      <c r="C43" s="126"/>
      <c r="D43" s="138" t="s">
        <v>2</v>
      </c>
      <c r="E43" s="138" t="s">
        <v>3</v>
      </c>
      <c r="F43" s="126" t="s">
        <v>30</v>
      </c>
      <c r="G43" s="17" t="s">
        <v>5</v>
      </c>
    </row>
    <row r="44" spans="1:7" x14ac:dyDescent="0.3">
      <c r="A44" s="126"/>
      <c r="B44" s="17" t="s">
        <v>6</v>
      </c>
      <c r="C44" s="17" t="s">
        <v>7</v>
      </c>
      <c r="D44" s="131"/>
      <c r="E44" s="131"/>
      <c r="F44" s="126"/>
      <c r="G44" s="17" t="s">
        <v>8</v>
      </c>
    </row>
    <row r="45" spans="1:7" x14ac:dyDescent="0.3">
      <c r="A45" s="74" t="s">
        <v>25</v>
      </c>
      <c r="B45" s="35">
        <v>180</v>
      </c>
      <c r="C45" s="35">
        <f>75%*B45</f>
        <v>135</v>
      </c>
      <c r="D45" s="35">
        <f>1.87%*C45</f>
        <v>2.5245000000000002</v>
      </c>
      <c r="E45" s="35"/>
      <c r="F45" s="35">
        <f>4.16%*C45</f>
        <v>5.6159999999999997</v>
      </c>
      <c r="G45" s="35">
        <f t="shared" ref="G45:G51" si="3">4*(D45+F45)+9*E45</f>
        <v>32.561999999999998</v>
      </c>
    </row>
    <row r="46" spans="1:7" x14ac:dyDescent="0.3">
      <c r="A46" s="74" t="s">
        <v>57</v>
      </c>
      <c r="B46" s="35">
        <v>25</v>
      </c>
      <c r="C46" s="35">
        <f>90%*B46</f>
        <v>22.5</v>
      </c>
      <c r="D46" s="35">
        <f>1.66%*C46</f>
        <v>0.3735</v>
      </c>
      <c r="E46" s="35"/>
      <c r="F46" s="35">
        <f>10%*C46</f>
        <v>2.25</v>
      </c>
      <c r="G46" s="35">
        <f t="shared" si="3"/>
        <v>10.494</v>
      </c>
    </row>
    <row r="47" spans="1:7" x14ac:dyDescent="0.3">
      <c r="A47" s="74" t="s">
        <v>27</v>
      </c>
      <c r="B47" s="35">
        <v>0.2</v>
      </c>
      <c r="C47" s="35">
        <f>92%*B47</f>
        <v>0.18400000000000002</v>
      </c>
      <c r="D47" s="35"/>
      <c r="E47" s="35"/>
      <c r="F47" s="35"/>
      <c r="G47" s="35">
        <f t="shared" si="3"/>
        <v>0</v>
      </c>
    </row>
    <row r="48" spans="1:7" x14ac:dyDescent="0.3">
      <c r="A48" s="74" t="s">
        <v>77</v>
      </c>
      <c r="B48" s="35">
        <v>0.05</v>
      </c>
      <c r="C48" s="35">
        <f>100%*B48</f>
        <v>0.05</v>
      </c>
      <c r="D48" s="35"/>
      <c r="E48" s="35"/>
      <c r="F48" s="35"/>
      <c r="G48" s="35">
        <f t="shared" si="3"/>
        <v>0</v>
      </c>
    </row>
    <row r="49" spans="1:7" x14ac:dyDescent="0.3">
      <c r="A49" s="74" t="s">
        <v>11</v>
      </c>
      <c r="B49" s="35">
        <v>1</v>
      </c>
      <c r="C49" s="35">
        <f>B49*100%</f>
        <v>1</v>
      </c>
      <c r="D49" s="35">
        <f>C49*10%</f>
        <v>0.1</v>
      </c>
      <c r="E49" s="35">
        <f>C49*1.3%</f>
        <v>1.3000000000000001E-2</v>
      </c>
      <c r="F49" s="35">
        <f>C49*69%</f>
        <v>0.69</v>
      </c>
      <c r="G49" s="35">
        <f t="shared" si="3"/>
        <v>3.2769999999999997</v>
      </c>
    </row>
    <row r="50" spans="1:7" x14ac:dyDescent="0.3">
      <c r="A50" s="74" t="s">
        <v>20</v>
      </c>
      <c r="B50" s="35">
        <v>4</v>
      </c>
      <c r="C50" s="35">
        <f>85%*B50</f>
        <v>3.4</v>
      </c>
      <c r="D50" s="35"/>
      <c r="E50" s="35"/>
      <c r="F50" s="35"/>
      <c r="G50" s="35">
        <f t="shared" si="3"/>
        <v>0</v>
      </c>
    </row>
    <row r="51" spans="1:7" x14ac:dyDescent="0.3">
      <c r="A51" s="74" t="s">
        <v>24</v>
      </c>
      <c r="B51" s="35">
        <v>3</v>
      </c>
      <c r="C51" s="35">
        <f>100%*B51</f>
        <v>3</v>
      </c>
      <c r="D51" s="35"/>
      <c r="E51" s="35">
        <f>99.9%*C51</f>
        <v>2.9970000000000003</v>
      </c>
      <c r="F51" s="35"/>
      <c r="G51" s="35">
        <f t="shared" si="3"/>
        <v>26.973000000000003</v>
      </c>
    </row>
    <row r="52" spans="1:7" x14ac:dyDescent="0.3">
      <c r="A52" s="73" t="s">
        <v>13</v>
      </c>
      <c r="B52" s="134">
        <v>160</v>
      </c>
      <c r="C52" s="135"/>
      <c r="D52" s="38">
        <f>SUM(D45:D51)</f>
        <v>2.9980000000000002</v>
      </c>
      <c r="E52" s="38">
        <f>SUM(E45:E51)</f>
        <v>3.0100000000000002</v>
      </c>
      <c r="F52" s="38">
        <f>SUM(F45:F51)</f>
        <v>8.5559999999999992</v>
      </c>
      <c r="G52" s="38">
        <f>SUM(G45:G51)</f>
        <v>73.305999999999997</v>
      </c>
    </row>
    <row r="54" spans="1:7" x14ac:dyDescent="0.3">
      <c r="A54" s="16" t="s">
        <v>78</v>
      </c>
      <c r="B54" s="57"/>
      <c r="C54" s="57"/>
      <c r="D54" s="57"/>
      <c r="E54" s="57"/>
      <c r="F54" s="57"/>
      <c r="G54" s="57"/>
    </row>
    <row r="55" spans="1:7" ht="30" x14ac:dyDescent="0.3">
      <c r="A55" s="126" t="s">
        <v>0</v>
      </c>
      <c r="B55" s="126" t="s">
        <v>1</v>
      </c>
      <c r="C55" s="126"/>
      <c r="D55" s="138" t="s">
        <v>2</v>
      </c>
      <c r="E55" s="138" t="s">
        <v>3</v>
      </c>
      <c r="F55" s="126" t="s">
        <v>30</v>
      </c>
      <c r="G55" s="17" t="s">
        <v>5</v>
      </c>
    </row>
    <row r="56" spans="1:7" x14ac:dyDescent="0.3">
      <c r="A56" s="126"/>
      <c r="B56" s="17" t="s">
        <v>6</v>
      </c>
      <c r="C56" s="17" t="s">
        <v>7</v>
      </c>
      <c r="D56" s="131"/>
      <c r="E56" s="131"/>
      <c r="F56" s="126"/>
      <c r="G56" s="17" t="s">
        <v>8</v>
      </c>
    </row>
    <row r="57" spans="1:7" x14ac:dyDescent="0.3">
      <c r="A57" s="74" t="s">
        <v>59</v>
      </c>
      <c r="B57" s="35">
        <v>100</v>
      </c>
      <c r="C57" s="35">
        <f>B57*100%</f>
        <v>100</v>
      </c>
      <c r="D57" s="35">
        <f>C57*20.8%</f>
        <v>20.8</v>
      </c>
      <c r="E57" s="35">
        <f>C57*2%</f>
        <v>2</v>
      </c>
      <c r="F57" s="35">
        <f>C57*46.6%</f>
        <v>46.6</v>
      </c>
      <c r="G57" s="35">
        <f t="shared" ref="G57:G64" si="4">4*(D57+F57)+9*E57</f>
        <v>287.60000000000002</v>
      </c>
    </row>
    <row r="58" spans="1:7" x14ac:dyDescent="0.3">
      <c r="A58" s="74" t="s">
        <v>24</v>
      </c>
      <c r="B58" s="35">
        <v>8</v>
      </c>
      <c r="C58" s="35">
        <f>100%*B58</f>
        <v>8</v>
      </c>
      <c r="D58" s="35"/>
      <c r="E58" s="35">
        <f>99.9%*C58</f>
        <v>7.9920000000000009</v>
      </c>
      <c r="F58" s="35"/>
      <c r="G58" s="35">
        <f t="shared" si="4"/>
        <v>71.928000000000011</v>
      </c>
    </row>
    <row r="59" spans="1:7" x14ac:dyDescent="0.3">
      <c r="A59" s="74" t="s">
        <v>11</v>
      </c>
      <c r="B59" s="35">
        <v>2</v>
      </c>
      <c r="C59" s="35">
        <f>100%*B59</f>
        <v>2</v>
      </c>
      <c r="D59" s="35"/>
      <c r="E59" s="35"/>
      <c r="F59" s="35"/>
      <c r="G59" s="35">
        <f t="shared" si="4"/>
        <v>0</v>
      </c>
    </row>
    <row r="60" spans="1:7" x14ac:dyDescent="0.3">
      <c r="A60" s="74" t="s">
        <v>26</v>
      </c>
      <c r="B60" s="35">
        <v>0.25</v>
      </c>
      <c r="C60" s="35">
        <f>100%*B60</f>
        <v>0.25</v>
      </c>
      <c r="D60" s="35"/>
      <c r="E60" s="35"/>
      <c r="F60" s="35"/>
      <c r="G60" s="35">
        <f t="shared" si="4"/>
        <v>0</v>
      </c>
    </row>
    <row r="61" spans="1:7" x14ac:dyDescent="0.3">
      <c r="A61" s="74" t="s">
        <v>77</v>
      </c>
      <c r="B61" s="35">
        <v>0.2</v>
      </c>
      <c r="C61" s="35">
        <f>100%*B61</f>
        <v>0.2</v>
      </c>
      <c r="D61" s="35"/>
      <c r="E61" s="35"/>
      <c r="F61" s="35"/>
      <c r="G61" s="35">
        <f t="shared" si="4"/>
        <v>0</v>
      </c>
    </row>
    <row r="62" spans="1:7" x14ac:dyDescent="0.3">
      <c r="A62" s="74" t="s">
        <v>21</v>
      </c>
      <c r="B62" s="35">
        <v>20</v>
      </c>
      <c r="C62" s="35">
        <f>90%*B62</f>
        <v>18</v>
      </c>
      <c r="D62" s="35">
        <f>1.58%*C62</f>
        <v>0.28440000000000004</v>
      </c>
      <c r="E62" s="35"/>
      <c r="F62" s="35">
        <f>9.5%*C62</f>
        <v>1.71</v>
      </c>
      <c r="G62" s="35">
        <f t="shared" si="4"/>
        <v>7.9775999999999998</v>
      </c>
    </row>
    <row r="63" spans="1:7" x14ac:dyDescent="0.3">
      <c r="A63" s="74" t="s">
        <v>27</v>
      </c>
      <c r="B63" s="35">
        <v>1</v>
      </c>
      <c r="C63" s="35">
        <f>92%*B63</f>
        <v>0.92</v>
      </c>
      <c r="D63" s="35"/>
      <c r="E63" s="35"/>
      <c r="F63" s="35"/>
      <c r="G63" s="35">
        <f t="shared" si="4"/>
        <v>0</v>
      </c>
    </row>
    <row r="64" spans="1:7" x14ac:dyDescent="0.3">
      <c r="A64" s="74" t="s">
        <v>20</v>
      </c>
      <c r="B64" s="35">
        <v>8</v>
      </c>
      <c r="C64" s="35">
        <f>85%*B64</f>
        <v>6.8</v>
      </c>
      <c r="D64" s="35"/>
      <c r="E64" s="35"/>
      <c r="F64" s="35"/>
      <c r="G64" s="35">
        <f t="shared" si="4"/>
        <v>0</v>
      </c>
    </row>
    <row r="65" spans="1:7" x14ac:dyDescent="0.3">
      <c r="A65" s="73" t="s">
        <v>13</v>
      </c>
      <c r="B65" s="134">
        <v>450</v>
      </c>
      <c r="C65" s="135"/>
      <c r="D65" s="38">
        <f>SUM(D57:D64)</f>
        <v>21.084400000000002</v>
      </c>
      <c r="E65" s="38">
        <f>SUM(E57:E64)</f>
        <v>9.9920000000000009</v>
      </c>
      <c r="F65" s="38">
        <f>SUM(F57:F64)</f>
        <v>48.31</v>
      </c>
      <c r="G65" s="38">
        <f>SUM(G57:G64)</f>
        <v>367.50560000000002</v>
      </c>
    </row>
    <row r="66" spans="1:7" x14ac:dyDescent="0.3">
      <c r="A66" s="155" t="s">
        <v>66</v>
      </c>
      <c r="B66" s="155"/>
      <c r="C66" s="155"/>
      <c r="D66" s="155"/>
      <c r="E66" s="155"/>
      <c r="F66" s="155"/>
      <c r="G66" s="155"/>
    </row>
    <row r="67" spans="1:7" ht="30" x14ac:dyDescent="0.3">
      <c r="A67" s="126" t="s">
        <v>0</v>
      </c>
      <c r="B67" s="126" t="s">
        <v>1</v>
      </c>
      <c r="C67" s="126"/>
      <c r="D67" s="138" t="s">
        <v>2</v>
      </c>
      <c r="E67" s="138" t="s">
        <v>3</v>
      </c>
      <c r="F67" s="126" t="s">
        <v>4</v>
      </c>
      <c r="G67" s="17" t="s">
        <v>5</v>
      </c>
    </row>
    <row r="68" spans="1:7" x14ac:dyDescent="0.3">
      <c r="A68" s="126"/>
      <c r="B68" s="17" t="s">
        <v>6</v>
      </c>
      <c r="C68" s="17" t="s">
        <v>7</v>
      </c>
      <c r="D68" s="131"/>
      <c r="E68" s="131"/>
      <c r="F68" s="126"/>
      <c r="G68" s="17" t="s">
        <v>8</v>
      </c>
    </row>
    <row r="69" spans="1:7" x14ac:dyDescent="0.3">
      <c r="A69" s="19" t="s">
        <v>67</v>
      </c>
      <c r="B69" s="35">
        <v>25</v>
      </c>
      <c r="C69" s="35">
        <f>100%*B69</f>
        <v>25</v>
      </c>
      <c r="D69" s="35">
        <f>1.6%*C69</f>
        <v>0.4</v>
      </c>
      <c r="E69" s="35"/>
      <c r="F69" s="35">
        <f>40%*C69</f>
        <v>10</v>
      </c>
      <c r="G69" s="35">
        <f>4*(D69+F69)+9*E69</f>
        <v>41.6</v>
      </c>
    </row>
    <row r="70" spans="1:7" x14ac:dyDescent="0.3">
      <c r="A70" s="19" t="s">
        <v>10</v>
      </c>
      <c r="B70" s="35">
        <v>10</v>
      </c>
      <c r="C70" s="35">
        <f>100%*B70</f>
        <v>10</v>
      </c>
      <c r="D70" s="35"/>
      <c r="E70" s="35"/>
      <c r="F70" s="35">
        <f>99%*C70</f>
        <v>9.9</v>
      </c>
      <c r="G70" s="35">
        <f>4*(D70+F70)+9*E70</f>
        <v>39.6</v>
      </c>
    </row>
    <row r="71" spans="1:7" x14ac:dyDescent="0.3">
      <c r="A71" s="31" t="s">
        <v>13</v>
      </c>
      <c r="B71" s="139">
        <v>200</v>
      </c>
      <c r="C71" s="140"/>
      <c r="D71" s="38">
        <f>SUM(D69:D70)</f>
        <v>0.4</v>
      </c>
      <c r="E71" s="38">
        <f>SUM(E69:E70)</f>
        <v>0</v>
      </c>
      <c r="F71" s="38">
        <f>SUM(F69:F70)</f>
        <v>19.899999999999999</v>
      </c>
      <c r="G71" s="38">
        <f>SUM(G69:G70)</f>
        <v>81.2</v>
      </c>
    </row>
    <row r="72" spans="1:7" x14ac:dyDescent="0.3">
      <c r="A72" s="73"/>
      <c r="B72" s="20"/>
      <c r="C72" s="21"/>
      <c r="D72" s="38"/>
      <c r="E72" s="38"/>
      <c r="F72" s="38"/>
      <c r="G72" s="38"/>
    </row>
    <row r="73" spans="1:7" s="32" customFormat="1" x14ac:dyDescent="0.3">
      <c r="A73" s="73" t="s">
        <v>14</v>
      </c>
      <c r="B73" s="38">
        <v>250</v>
      </c>
      <c r="C73" s="38">
        <f>B73*100%</f>
        <v>250</v>
      </c>
      <c r="D73" s="38">
        <f>C73*7.9%</f>
        <v>19.75</v>
      </c>
      <c r="E73" s="38">
        <f>C73*1%</f>
        <v>2.5</v>
      </c>
      <c r="F73" s="38">
        <f>C73*49.6%</f>
        <v>124</v>
      </c>
      <c r="G73" s="38">
        <f>4*(D73+F73)+9*E73</f>
        <v>597.5</v>
      </c>
    </row>
    <row r="76" spans="1:7" x14ac:dyDescent="0.3">
      <c r="A76" s="69" t="s">
        <v>124</v>
      </c>
      <c r="B76" s="154">
        <f>C73+B65+B52+B39+B71</f>
        <v>1210</v>
      </c>
      <c r="C76" s="154"/>
      <c r="D76" s="52">
        <f t="shared" ref="D76:F76" si="5">D73+D65+D52+D39+D71</f>
        <v>68.8459</v>
      </c>
      <c r="E76" s="52">
        <f t="shared" si="5"/>
        <v>27.727</v>
      </c>
      <c r="F76" s="52">
        <f t="shared" si="5"/>
        <v>222.36600000000001</v>
      </c>
      <c r="G76" s="52">
        <f>G73+G65+G52+G39+G71</f>
        <v>1414.3905999999999</v>
      </c>
    </row>
    <row r="77" spans="1:7" x14ac:dyDescent="0.3">
      <c r="A77" s="70"/>
      <c r="B77" s="45"/>
      <c r="C77" s="45"/>
      <c r="D77" s="53"/>
      <c r="E77" s="53"/>
      <c r="F77" s="53"/>
      <c r="G77" s="53"/>
    </row>
    <row r="78" spans="1:7" x14ac:dyDescent="0.3">
      <c r="A78" s="71" t="s">
        <v>125</v>
      </c>
      <c r="B78" s="45"/>
      <c r="C78" s="45"/>
      <c r="D78" s="53"/>
      <c r="E78" s="53"/>
      <c r="F78" s="53"/>
      <c r="G78" s="53"/>
    </row>
    <row r="79" spans="1:7" x14ac:dyDescent="0.3">
      <c r="A79" s="72"/>
    </row>
    <row r="80" spans="1:7" ht="36" customHeight="1" x14ac:dyDescent="0.3">
      <c r="A80" s="16" t="s">
        <v>114</v>
      </c>
      <c r="B80" s="57"/>
      <c r="C80" s="57"/>
      <c r="D80" s="57"/>
      <c r="E80" s="57"/>
      <c r="F80" s="57"/>
      <c r="G80" s="57"/>
    </row>
    <row r="81" spans="1:7" ht="36" customHeight="1" x14ac:dyDescent="0.3">
      <c r="A81" s="157" t="s">
        <v>0</v>
      </c>
      <c r="B81" s="126" t="s">
        <v>1</v>
      </c>
      <c r="C81" s="126"/>
      <c r="D81" s="138" t="s">
        <v>2</v>
      </c>
      <c r="E81" s="138" t="s">
        <v>3</v>
      </c>
      <c r="F81" s="126" t="s">
        <v>30</v>
      </c>
      <c r="G81" s="17" t="s">
        <v>5</v>
      </c>
    </row>
    <row r="82" spans="1:7" x14ac:dyDescent="0.3">
      <c r="A82" s="157"/>
      <c r="B82" s="17" t="s">
        <v>6</v>
      </c>
      <c r="C82" s="17" t="s">
        <v>7</v>
      </c>
      <c r="D82" s="131"/>
      <c r="E82" s="131"/>
      <c r="F82" s="126"/>
      <c r="G82" s="17" t="s">
        <v>8</v>
      </c>
    </row>
    <row r="83" spans="1:7" x14ac:dyDescent="0.3">
      <c r="A83" s="74" t="s">
        <v>22</v>
      </c>
      <c r="B83" s="35">
        <v>150</v>
      </c>
      <c r="C83" s="35">
        <f>B83*75%</f>
        <v>112.5</v>
      </c>
      <c r="D83" s="35">
        <f>18.6%*C83</f>
        <v>20.925000000000004</v>
      </c>
      <c r="E83" s="35">
        <f>17.3%*C83</f>
        <v>19.462500000000002</v>
      </c>
      <c r="F83" s="35"/>
      <c r="G83" s="35">
        <f t="shared" ref="G83:G88" si="6">4*(D83+F83)+9*E83</f>
        <v>258.86250000000007</v>
      </c>
    </row>
    <row r="84" spans="1:7" x14ac:dyDescent="0.3">
      <c r="A84" s="75" t="s">
        <v>73</v>
      </c>
      <c r="B84" s="35">
        <v>30</v>
      </c>
      <c r="C84" s="35">
        <f>100%*B84</f>
        <v>30</v>
      </c>
      <c r="D84" s="35">
        <f>1.6%*C84</f>
        <v>0.48</v>
      </c>
      <c r="E84" s="35"/>
      <c r="F84" s="35">
        <f>40%*C84</f>
        <v>12</v>
      </c>
      <c r="G84" s="35">
        <f t="shared" si="6"/>
        <v>49.92</v>
      </c>
    </row>
    <row r="85" spans="1:7" x14ac:dyDescent="0.3">
      <c r="A85" s="75" t="s">
        <v>43</v>
      </c>
      <c r="B85" s="35">
        <v>5</v>
      </c>
      <c r="C85" s="35">
        <f>100%*B85</f>
        <v>5</v>
      </c>
      <c r="D85" s="35"/>
      <c r="E85" s="35"/>
      <c r="F85" s="35">
        <f>17.7%*C85</f>
        <v>0.88500000000000001</v>
      </c>
      <c r="G85" s="35">
        <f t="shared" si="6"/>
        <v>3.54</v>
      </c>
    </row>
    <row r="86" spans="1:7" x14ac:dyDescent="0.3">
      <c r="A86" s="74" t="s">
        <v>21</v>
      </c>
      <c r="B86" s="35">
        <v>24</v>
      </c>
      <c r="C86" s="35">
        <f>90%*B86</f>
        <v>21.6</v>
      </c>
      <c r="D86" s="35">
        <f>1.58%*C86</f>
        <v>0.34128000000000008</v>
      </c>
      <c r="E86" s="35"/>
      <c r="F86" s="35">
        <f>9.5%*C86</f>
        <v>2.052</v>
      </c>
      <c r="G86" s="35">
        <f t="shared" si="6"/>
        <v>9.5731200000000012</v>
      </c>
    </row>
    <row r="87" spans="1:7" x14ac:dyDescent="0.3">
      <c r="A87" s="74" t="s">
        <v>11</v>
      </c>
      <c r="B87" s="35">
        <v>1</v>
      </c>
      <c r="C87" s="35">
        <f>100%*B87</f>
        <v>1</v>
      </c>
      <c r="D87" s="35"/>
      <c r="E87" s="35"/>
      <c r="F87" s="35"/>
      <c r="G87" s="35">
        <f t="shared" si="6"/>
        <v>0</v>
      </c>
    </row>
    <row r="88" spans="1:7" x14ac:dyDescent="0.3">
      <c r="A88" s="75" t="s">
        <v>27</v>
      </c>
      <c r="B88" s="35">
        <v>1</v>
      </c>
      <c r="C88" s="35">
        <f>92%*B88</f>
        <v>0.92</v>
      </c>
      <c r="D88" s="35"/>
      <c r="E88" s="35"/>
      <c r="F88" s="35"/>
      <c r="G88" s="35">
        <f t="shared" si="6"/>
        <v>0</v>
      </c>
    </row>
    <row r="89" spans="1:7" x14ac:dyDescent="0.3">
      <c r="A89" s="73" t="s">
        <v>13</v>
      </c>
      <c r="B89" s="158">
        <v>100</v>
      </c>
      <c r="C89" s="158"/>
      <c r="D89" s="38">
        <f>SUM(D83:D88)</f>
        <v>21.746280000000006</v>
      </c>
      <c r="E89" s="38">
        <f>SUM(E83:E88)</f>
        <v>19.462500000000002</v>
      </c>
      <c r="F89" s="38">
        <f>SUM(F83:F88)</f>
        <v>14.936999999999999</v>
      </c>
      <c r="G89" s="38">
        <f>SUM(G83:G88)</f>
        <v>321.89562000000012</v>
      </c>
    </row>
    <row r="91" spans="1:7" x14ac:dyDescent="0.3">
      <c r="A91" s="16" t="s">
        <v>74</v>
      </c>
      <c r="B91" s="57"/>
      <c r="C91" s="57"/>
      <c r="D91" s="57"/>
      <c r="E91" s="57"/>
      <c r="F91" s="57"/>
      <c r="G91" s="57"/>
    </row>
    <row r="92" spans="1:7" ht="36" customHeight="1" x14ac:dyDescent="0.3">
      <c r="A92" s="157" t="s">
        <v>0</v>
      </c>
      <c r="B92" s="126" t="s">
        <v>1</v>
      </c>
      <c r="C92" s="126"/>
      <c r="D92" s="138" t="s">
        <v>2</v>
      </c>
      <c r="E92" s="138" t="s">
        <v>3</v>
      </c>
      <c r="F92" s="126" t="s">
        <v>30</v>
      </c>
      <c r="G92" s="17" t="s">
        <v>5</v>
      </c>
    </row>
    <row r="93" spans="1:7" x14ac:dyDescent="0.3">
      <c r="A93" s="157"/>
      <c r="B93" s="17" t="s">
        <v>6</v>
      </c>
      <c r="C93" s="17" t="s">
        <v>7</v>
      </c>
      <c r="D93" s="131"/>
      <c r="E93" s="131"/>
      <c r="F93" s="126"/>
      <c r="G93" s="17" t="s">
        <v>8</v>
      </c>
    </row>
    <row r="94" spans="1:7" x14ac:dyDescent="0.3">
      <c r="A94" s="74" t="s">
        <v>35</v>
      </c>
      <c r="B94" s="35">
        <v>50</v>
      </c>
      <c r="C94" s="35">
        <f>B94*100%</f>
        <v>50</v>
      </c>
      <c r="D94" s="35">
        <f>10.78%*C94</f>
        <v>5.39</v>
      </c>
      <c r="E94" s="35">
        <f>3.14%*C94</f>
        <v>1.5700000000000003</v>
      </c>
      <c r="F94" s="35">
        <f>55.9%*C94</f>
        <v>27.949999999999996</v>
      </c>
      <c r="G94" s="35">
        <f>4*(D94+F94)+9*E94</f>
        <v>147.48999999999998</v>
      </c>
    </row>
    <row r="95" spans="1:7" x14ac:dyDescent="0.3">
      <c r="A95" s="74" t="s">
        <v>9</v>
      </c>
      <c r="B95" s="35">
        <v>5</v>
      </c>
      <c r="C95" s="35">
        <f>100%*B95</f>
        <v>5</v>
      </c>
      <c r="D95" s="35"/>
      <c r="E95" s="35">
        <f>72.57%*C95</f>
        <v>3.6284999999999994</v>
      </c>
      <c r="F95" s="35"/>
      <c r="G95" s="35">
        <f>4*(D95+F95)+9*E95</f>
        <v>32.656499999999994</v>
      </c>
    </row>
    <row r="96" spans="1:7" x14ac:dyDescent="0.3">
      <c r="A96" s="74" t="s">
        <v>11</v>
      </c>
      <c r="B96" s="35">
        <v>1</v>
      </c>
      <c r="C96" s="35">
        <f>100%*B96</f>
        <v>1</v>
      </c>
      <c r="D96" s="35"/>
      <c r="E96" s="35"/>
      <c r="F96" s="35"/>
      <c r="G96" s="35">
        <f>4*(D96+F96)+9*E96</f>
        <v>0</v>
      </c>
    </row>
    <row r="97" spans="1:7" x14ac:dyDescent="0.3">
      <c r="A97" s="73" t="s">
        <v>13</v>
      </c>
      <c r="B97" s="134">
        <v>200</v>
      </c>
      <c r="C97" s="135"/>
      <c r="D97" s="38">
        <f>SUM(D94:D96)</f>
        <v>5.39</v>
      </c>
      <c r="E97" s="38">
        <f>SUM(E94:E96)</f>
        <v>5.1984999999999992</v>
      </c>
      <c r="F97" s="38">
        <f>SUM(F94:F96)</f>
        <v>27.949999999999996</v>
      </c>
      <c r="G97" s="38">
        <f>SUM(G94:G96)</f>
        <v>180.14649999999997</v>
      </c>
    </row>
    <row r="98" spans="1:7" s="56" customFormat="1" ht="12.75" x14ac:dyDescent="0.2">
      <c r="A98" s="76"/>
    </row>
    <row r="99" spans="1:7" s="56" customFormat="1" ht="12.75" x14ac:dyDescent="0.2">
      <c r="A99" s="76"/>
    </row>
    <row r="100" spans="1:7" x14ac:dyDescent="0.3">
      <c r="A100" s="16" t="s">
        <v>75</v>
      </c>
      <c r="B100" s="57"/>
      <c r="C100" s="57"/>
      <c r="D100" s="77"/>
      <c r="E100" s="77"/>
      <c r="F100" s="57"/>
      <c r="G100" s="57"/>
    </row>
    <row r="101" spans="1:7" ht="36" customHeight="1" x14ac:dyDescent="0.3">
      <c r="A101" s="157" t="s">
        <v>0</v>
      </c>
      <c r="B101" s="126" t="s">
        <v>1</v>
      </c>
      <c r="C101" s="126"/>
      <c r="D101" s="138" t="s">
        <v>2</v>
      </c>
      <c r="E101" s="138" t="s">
        <v>3</v>
      </c>
      <c r="F101" s="126" t="s">
        <v>30</v>
      </c>
      <c r="G101" s="17" t="s">
        <v>5</v>
      </c>
    </row>
    <row r="102" spans="1:7" x14ac:dyDescent="0.3">
      <c r="A102" s="157"/>
      <c r="B102" s="17" t="s">
        <v>6</v>
      </c>
      <c r="C102" s="17" t="s">
        <v>7</v>
      </c>
      <c r="D102" s="131"/>
      <c r="E102" s="131"/>
      <c r="F102" s="126"/>
      <c r="G102" s="17" t="s">
        <v>8</v>
      </c>
    </row>
    <row r="103" spans="1:7" x14ac:dyDescent="0.3">
      <c r="A103" s="75" t="s">
        <v>23</v>
      </c>
      <c r="B103" s="35">
        <v>100</v>
      </c>
      <c r="C103" s="78">
        <f>72%*B103</f>
        <v>72</v>
      </c>
      <c r="D103" s="35">
        <f>2.1%*C103</f>
        <v>1.512</v>
      </c>
      <c r="E103" s="35">
        <f>0.4%*C103</f>
        <v>0.28800000000000003</v>
      </c>
      <c r="F103" s="79">
        <f>15.6%*C103</f>
        <v>11.231999999999999</v>
      </c>
      <c r="G103" s="35">
        <f t="shared" ref="G103:G108" si="7">4*(D103+F103)+9*E103</f>
        <v>53.567999999999998</v>
      </c>
    </row>
    <row r="104" spans="1:7" x14ac:dyDescent="0.3">
      <c r="A104" s="75" t="s">
        <v>15</v>
      </c>
      <c r="B104" s="35">
        <v>50</v>
      </c>
      <c r="C104" s="78">
        <f>90%*B104</f>
        <v>45</v>
      </c>
      <c r="D104" s="35">
        <f>0.8%*C104</f>
        <v>0.36</v>
      </c>
      <c r="E104" s="35"/>
      <c r="F104" s="79">
        <f>2.6%*C104</f>
        <v>1.1700000000000002</v>
      </c>
      <c r="G104" s="35">
        <f t="shared" si="7"/>
        <v>6.120000000000001</v>
      </c>
    </row>
    <row r="105" spans="1:7" x14ac:dyDescent="0.3">
      <c r="A105" s="75" t="s">
        <v>19</v>
      </c>
      <c r="B105" s="35">
        <v>64</v>
      </c>
      <c r="C105" s="35">
        <f>80%*B105</f>
        <v>51.2</v>
      </c>
      <c r="D105" s="80">
        <f>1.77%*C105</f>
        <v>0.90624000000000005</v>
      </c>
      <c r="E105" s="80"/>
      <c r="F105" s="35">
        <f>11%*C105</f>
        <v>5.6320000000000006</v>
      </c>
      <c r="G105" s="35">
        <f t="shared" si="7"/>
        <v>26.152960000000004</v>
      </c>
    </row>
    <row r="106" spans="1:7" x14ac:dyDescent="0.3">
      <c r="A106" s="75" t="s">
        <v>24</v>
      </c>
      <c r="B106" s="35">
        <v>6</v>
      </c>
      <c r="C106" s="35">
        <f>100%*B106</f>
        <v>6</v>
      </c>
      <c r="D106" s="35"/>
      <c r="E106" s="35">
        <f>99.9%*C106</f>
        <v>5.9940000000000007</v>
      </c>
      <c r="F106" s="35"/>
      <c r="G106" s="35">
        <f t="shared" si="7"/>
        <v>53.946000000000005</v>
      </c>
    </row>
    <row r="107" spans="1:7" x14ac:dyDescent="0.3">
      <c r="A107" s="75" t="s">
        <v>20</v>
      </c>
      <c r="B107" s="35">
        <v>14</v>
      </c>
      <c r="C107" s="35">
        <f>85%*B107</f>
        <v>11.9</v>
      </c>
      <c r="D107" s="35"/>
      <c r="E107" s="35"/>
      <c r="F107" s="35"/>
      <c r="G107" s="35">
        <f t="shared" si="7"/>
        <v>0</v>
      </c>
    </row>
    <row r="108" spans="1:7" x14ac:dyDescent="0.3">
      <c r="A108" s="74" t="s">
        <v>11</v>
      </c>
      <c r="B108" s="35">
        <v>1</v>
      </c>
      <c r="C108" s="35">
        <f>100%*B108</f>
        <v>1</v>
      </c>
      <c r="D108" s="35"/>
      <c r="E108" s="35"/>
      <c r="F108" s="35"/>
      <c r="G108" s="35">
        <f t="shared" si="7"/>
        <v>0</v>
      </c>
    </row>
    <row r="109" spans="1:7" x14ac:dyDescent="0.3">
      <c r="A109" s="73" t="s">
        <v>13</v>
      </c>
      <c r="B109" s="134">
        <v>200</v>
      </c>
      <c r="C109" s="135"/>
      <c r="D109" s="38">
        <f>SUM(D103:D108)</f>
        <v>2.7782399999999998</v>
      </c>
      <c r="E109" s="38">
        <f>SUM(E103:E108)</f>
        <v>6.2820000000000009</v>
      </c>
      <c r="F109" s="38">
        <f>SUM(F103:F108)</f>
        <v>18.033999999999999</v>
      </c>
      <c r="G109" s="38">
        <f>SUM(G103:G108)</f>
        <v>139.78696000000002</v>
      </c>
    </row>
    <row r="110" spans="1:7" s="32" customFormat="1" x14ac:dyDescent="0.3">
      <c r="A110" s="73" t="s">
        <v>14</v>
      </c>
      <c r="B110" s="38">
        <v>250</v>
      </c>
      <c r="C110" s="38">
        <f>B110*100%</f>
        <v>250</v>
      </c>
      <c r="D110" s="38">
        <f>C110*7.9%</f>
        <v>19.75</v>
      </c>
      <c r="E110" s="38">
        <f>C110*1%</f>
        <v>2.5</v>
      </c>
      <c r="F110" s="38">
        <f>C110*49.6%</f>
        <v>124</v>
      </c>
      <c r="G110" s="38">
        <f>4*(D110+F110)+9*E110</f>
        <v>597.5</v>
      </c>
    </row>
    <row r="112" spans="1:7" x14ac:dyDescent="0.3">
      <c r="A112" s="69" t="s">
        <v>136</v>
      </c>
      <c r="B112" s="154">
        <f>C110+B109+B97+B89</f>
        <v>750</v>
      </c>
      <c r="C112" s="154"/>
      <c r="D112" s="52">
        <f>D110+D109+D97+D89</f>
        <v>49.66452000000001</v>
      </c>
      <c r="E112" s="52">
        <f t="shared" ref="E112:G112" si="8">E110+E109+E97+E89</f>
        <v>33.442999999999998</v>
      </c>
      <c r="F112" s="52">
        <f t="shared" si="8"/>
        <v>184.92099999999999</v>
      </c>
      <c r="G112" s="52">
        <f t="shared" si="8"/>
        <v>1239.32908</v>
      </c>
    </row>
    <row r="115" spans="1:7" x14ac:dyDescent="0.3">
      <c r="A115" s="69" t="s">
        <v>111</v>
      </c>
      <c r="B115" s="156">
        <f>B112+B76+B25</f>
        <v>2310</v>
      </c>
      <c r="C115" s="156"/>
      <c r="D115" s="58">
        <f>D112+D76+D25</f>
        <v>129.19756000000001</v>
      </c>
      <c r="E115" s="58">
        <f>E112+E76+E25</f>
        <v>68.157399999999996</v>
      </c>
      <c r="F115" s="58">
        <f>F112+F76+F25</f>
        <v>490.06910000000005</v>
      </c>
      <c r="G115" s="58">
        <f>G112+G76+G25</f>
        <v>3090.48324</v>
      </c>
    </row>
  </sheetData>
  <mergeCells count="64">
    <mergeCell ref="B25:C25"/>
    <mergeCell ref="B17:C17"/>
    <mergeCell ref="A19:A20"/>
    <mergeCell ref="B19:C19"/>
    <mergeCell ref="D19:D20"/>
    <mergeCell ref="D7:D8"/>
    <mergeCell ref="E7:E8"/>
    <mergeCell ref="F7:F8"/>
    <mergeCell ref="F19:F20"/>
    <mergeCell ref="B23:C23"/>
    <mergeCell ref="E19:E20"/>
    <mergeCell ref="A101:A102"/>
    <mergeCell ref="D101:D102"/>
    <mergeCell ref="E101:E102"/>
    <mergeCell ref="F101:F102"/>
    <mergeCell ref="A55:A56"/>
    <mergeCell ref="B55:C55"/>
    <mergeCell ref="D55:D56"/>
    <mergeCell ref="E55:E56"/>
    <mergeCell ref="B65:C65"/>
    <mergeCell ref="D92:D93"/>
    <mergeCell ref="E92:E93"/>
    <mergeCell ref="F92:F93"/>
    <mergeCell ref="B92:C92"/>
    <mergeCell ref="B81:C81"/>
    <mergeCell ref="B89:C89"/>
    <mergeCell ref="F55:F56"/>
    <mergeCell ref="A81:A82"/>
    <mergeCell ref="D81:D82"/>
    <mergeCell ref="E81:E82"/>
    <mergeCell ref="F81:F82"/>
    <mergeCell ref="B52:C52"/>
    <mergeCell ref="A1:G1"/>
    <mergeCell ref="A2:G3"/>
    <mergeCell ref="A4:G4"/>
    <mergeCell ref="D43:D44"/>
    <mergeCell ref="E43:E44"/>
    <mergeCell ref="F43:F44"/>
    <mergeCell ref="F30:F31"/>
    <mergeCell ref="A29:G29"/>
    <mergeCell ref="A30:A31"/>
    <mergeCell ref="B30:C30"/>
    <mergeCell ref="D30:D31"/>
    <mergeCell ref="E30:E31"/>
    <mergeCell ref="B39:C39"/>
    <mergeCell ref="A6:G6"/>
    <mergeCell ref="A7:A8"/>
    <mergeCell ref="B7:C7"/>
    <mergeCell ref="B112:C112"/>
    <mergeCell ref="B115:C115"/>
    <mergeCell ref="B101:C101"/>
    <mergeCell ref="B109:C109"/>
    <mergeCell ref="A43:A44"/>
    <mergeCell ref="B43:C43"/>
    <mergeCell ref="A66:G66"/>
    <mergeCell ref="A67:A68"/>
    <mergeCell ref="B67:C67"/>
    <mergeCell ref="D67:D68"/>
    <mergeCell ref="E67:E68"/>
    <mergeCell ref="F67:F68"/>
    <mergeCell ref="B71:C71"/>
    <mergeCell ref="A92:A93"/>
    <mergeCell ref="B97:C97"/>
    <mergeCell ref="B76:C76"/>
  </mergeCells>
  <pageMargins left="0.7" right="0.7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view="pageBreakPreview" zoomScale="118" zoomScaleNormal="100" zoomScaleSheetLayoutView="118" workbookViewId="0">
      <selection activeCell="A2" sqref="A2:G3"/>
    </sheetView>
  </sheetViews>
  <sheetFormatPr defaultRowHeight="15" x14ac:dyDescent="0.3"/>
  <cols>
    <col min="1" max="7" width="17.7109375" style="82" customWidth="1"/>
    <col min="8" max="256" width="9.140625" style="1"/>
    <col min="257" max="257" width="34.85546875" style="1" bestFit="1" customWidth="1"/>
    <col min="258" max="258" width="12" style="1" customWidth="1"/>
    <col min="259" max="259" width="12.5703125" style="1" customWidth="1"/>
    <col min="260" max="260" width="12.28515625" style="1" customWidth="1"/>
    <col min="261" max="261" width="11.28515625" style="1" customWidth="1"/>
    <col min="262" max="262" width="16.140625" style="1" customWidth="1"/>
    <col min="263" max="263" width="20.42578125" style="1" customWidth="1"/>
    <col min="264" max="512" width="9.140625" style="1"/>
    <col min="513" max="513" width="34.85546875" style="1" bestFit="1" customWidth="1"/>
    <col min="514" max="514" width="12" style="1" customWidth="1"/>
    <col min="515" max="515" width="12.5703125" style="1" customWidth="1"/>
    <col min="516" max="516" width="12.28515625" style="1" customWidth="1"/>
    <col min="517" max="517" width="11.28515625" style="1" customWidth="1"/>
    <col min="518" max="518" width="16.140625" style="1" customWidth="1"/>
    <col min="519" max="519" width="20.42578125" style="1" customWidth="1"/>
    <col min="520" max="768" width="9.140625" style="1"/>
    <col min="769" max="769" width="34.85546875" style="1" bestFit="1" customWidth="1"/>
    <col min="770" max="770" width="12" style="1" customWidth="1"/>
    <col min="771" max="771" width="12.5703125" style="1" customWidth="1"/>
    <col min="772" max="772" width="12.28515625" style="1" customWidth="1"/>
    <col min="773" max="773" width="11.28515625" style="1" customWidth="1"/>
    <col min="774" max="774" width="16.140625" style="1" customWidth="1"/>
    <col min="775" max="775" width="20.42578125" style="1" customWidth="1"/>
    <col min="776" max="1024" width="9.140625" style="1"/>
    <col min="1025" max="1025" width="34.85546875" style="1" bestFit="1" customWidth="1"/>
    <col min="1026" max="1026" width="12" style="1" customWidth="1"/>
    <col min="1027" max="1027" width="12.5703125" style="1" customWidth="1"/>
    <col min="1028" max="1028" width="12.28515625" style="1" customWidth="1"/>
    <col min="1029" max="1029" width="11.28515625" style="1" customWidth="1"/>
    <col min="1030" max="1030" width="16.140625" style="1" customWidth="1"/>
    <col min="1031" max="1031" width="20.42578125" style="1" customWidth="1"/>
    <col min="1032" max="1280" width="9.140625" style="1"/>
    <col min="1281" max="1281" width="34.85546875" style="1" bestFit="1" customWidth="1"/>
    <col min="1282" max="1282" width="12" style="1" customWidth="1"/>
    <col min="1283" max="1283" width="12.5703125" style="1" customWidth="1"/>
    <col min="1284" max="1284" width="12.28515625" style="1" customWidth="1"/>
    <col min="1285" max="1285" width="11.28515625" style="1" customWidth="1"/>
    <col min="1286" max="1286" width="16.140625" style="1" customWidth="1"/>
    <col min="1287" max="1287" width="20.42578125" style="1" customWidth="1"/>
    <col min="1288" max="1536" width="9.140625" style="1"/>
    <col min="1537" max="1537" width="34.85546875" style="1" bestFit="1" customWidth="1"/>
    <col min="1538" max="1538" width="12" style="1" customWidth="1"/>
    <col min="1539" max="1539" width="12.5703125" style="1" customWidth="1"/>
    <col min="1540" max="1540" width="12.28515625" style="1" customWidth="1"/>
    <col min="1541" max="1541" width="11.28515625" style="1" customWidth="1"/>
    <col min="1542" max="1542" width="16.140625" style="1" customWidth="1"/>
    <col min="1543" max="1543" width="20.42578125" style="1" customWidth="1"/>
    <col min="1544" max="1792" width="9.140625" style="1"/>
    <col min="1793" max="1793" width="34.85546875" style="1" bestFit="1" customWidth="1"/>
    <col min="1794" max="1794" width="12" style="1" customWidth="1"/>
    <col min="1795" max="1795" width="12.5703125" style="1" customWidth="1"/>
    <col min="1796" max="1796" width="12.28515625" style="1" customWidth="1"/>
    <col min="1797" max="1797" width="11.28515625" style="1" customWidth="1"/>
    <col min="1798" max="1798" width="16.140625" style="1" customWidth="1"/>
    <col min="1799" max="1799" width="20.42578125" style="1" customWidth="1"/>
    <col min="1800" max="2048" width="9.140625" style="1"/>
    <col min="2049" max="2049" width="34.85546875" style="1" bestFit="1" customWidth="1"/>
    <col min="2050" max="2050" width="12" style="1" customWidth="1"/>
    <col min="2051" max="2051" width="12.5703125" style="1" customWidth="1"/>
    <col min="2052" max="2052" width="12.28515625" style="1" customWidth="1"/>
    <col min="2053" max="2053" width="11.28515625" style="1" customWidth="1"/>
    <col min="2054" max="2054" width="16.140625" style="1" customWidth="1"/>
    <col min="2055" max="2055" width="20.42578125" style="1" customWidth="1"/>
    <col min="2056" max="2304" width="9.140625" style="1"/>
    <col min="2305" max="2305" width="34.85546875" style="1" bestFit="1" customWidth="1"/>
    <col min="2306" max="2306" width="12" style="1" customWidth="1"/>
    <col min="2307" max="2307" width="12.5703125" style="1" customWidth="1"/>
    <col min="2308" max="2308" width="12.28515625" style="1" customWidth="1"/>
    <col min="2309" max="2309" width="11.28515625" style="1" customWidth="1"/>
    <col min="2310" max="2310" width="16.140625" style="1" customWidth="1"/>
    <col min="2311" max="2311" width="20.42578125" style="1" customWidth="1"/>
    <col min="2312" max="2560" width="9.140625" style="1"/>
    <col min="2561" max="2561" width="34.85546875" style="1" bestFit="1" customWidth="1"/>
    <col min="2562" max="2562" width="12" style="1" customWidth="1"/>
    <col min="2563" max="2563" width="12.5703125" style="1" customWidth="1"/>
    <col min="2564" max="2564" width="12.28515625" style="1" customWidth="1"/>
    <col min="2565" max="2565" width="11.28515625" style="1" customWidth="1"/>
    <col min="2566" max="2566" width="16.140625" style="1" customWidth="1"/>
    <col min="2567" max="2567" width="20.42578125" style="1" customWidth="1"/>
    <col min="2568" max="2816" width="9.140625" style="1"/>
    <col min="2817" max="2817" width="34.85546875" style="1" bestFit="1" customWidth="1"/>
    <col min="2818" max="2818" width="12" style="1" customWidth="1"/>
    <col min="2819" max="2819" width="12.5703125" style="1" customWidth="1"/>
    <col min="2820" max="2820" width="12.28515625" style="1" customWidth="1"/>
    <col min="2821" max="2821" width="11.28515625" style="1" customWidth="1"/>
    <col min="2822" max="2822" width="16.140625" style="1" customWidth="1"/>
    <col min="2823" max="2823" width="20.42578125" style="1" customWidth="1"/>
    <col min="2824" max="3072" width="9.140625" style="1"/>
    <col min="3073" max="3073" width="34.85546875" style="1" bestFit="1" customWidth="1"/>
    <col min="3074" max="3074" width="12" style="1" customWidth="1"/>
    <col min="3075" max="3075" width="12.5703125" style="1" customWidth="1"/>
    <col min="3076" max="3076" width="12.28515625" style="1" customWidth="1"/>
    <col min="3077" max="3077" width="11.28515625" style="1" customWidth="1"/>
    <col min="3078" max="3078" width="16.140625" style="1" customWidth="1"/>
    <col min="3079" max="3079" width="20.42578125" style="1" customWidth="1"/>
    <col min="3080" max="3328" width="9.140625" style="1"/>
    <col min="3329" max="3329" width="34.85546875" style="1" bestFit="1" customWidth="1"/>
    <col min="3330" max="3330" width="12" style="1" customWidth="1"/>
    <col min="3331" max="3331" width="12.5703125" style="1" customWidth="1"/>
    <col min="3332" max="3332" width="12.28515625" style="1" customWidth="1"/>
    <col min="3333" max="3333" width="11.28515625" style="1" customWidth="1"/>
    <col min="3334" max="3334" width="16.140625" style="1" customWidth="1"/>
    <col min="3335" max="3335" width="20.42578125" style="1" customWidth="1"/>
    <col min="3336" max="3584" width="9.140625" style="1"/>
    <col min="3585" max="3585" width="34.85546875" style="1" bestFit="1" customWidth="1"/>
    <col min="3586" max="3586" width="12" style="1" customWidth="1"/>
    <col min="3587" max="3587" width="12.5703125" style="1" customWidth="1"/>
    <col min="3588" max="3588" width="12.28515625" style="1" customWidth="1"/>
    <col min="3589" max="3589" width="11.28515625" style="1" customWidth="1"/>
    <col min="3590" max="3590" width="16.140625" style="1" customWidth="1"/>
    <col min="3591" max="3591" width="20.42578125" style="1" customWidth="1"/>
    <col min="3592" max="3840" width="9.140625" style="1"/>
    <col min="3841" max="3841" width="34.85546875" style="1" bestFit="1" customWidth="1"/>
    <col min="3842" max="3842" width="12" style="1" customWidth="1"/>
    <col min="3843" max="3843" width="12.5703125" style="1" customWidth="1"/>
    <col min="3844" max="3844" width="12.28515625" style="1" customWidth="1"/>
    <col min="3845" max="3845" width="11.28515625" style="1" customWidth="1"/>
    <col min="3846" max="3846" width="16.140625" style="1" customWidth="1"/>
    <col min="3847" max="3847" width="20.42578125" style="1" customWidth="1"/>
    <col min="3848" max="4096" width="9.140625" style="1"/>
    <col min="4097" max="4097" width="34.85546875" style="1" bestFit="1" customWidth="1"/>
    <col min="4098" max="4098" width="12" style="1" customWidth="1"/>
    <col min="4099" max="4099" width="12.5703125" style="1" customWidth="1"/>
    <col min="4100" max="4100" width="12.28515625" style="1" customWidth="1"/>
    <col min="4101" max="4101" width="11.28515625" style="1" customWidth="1"/>
    <col min="4102" max="4102" width="16.140625" style="1" customWidth="1"/>
    <col min="4103" max="4103" width="20.42578125" style="1" customWidth="1"/>
    <col min="4104" max="4352" width="9.140625" style="1"/>
    <col min="4353" max="4353" width="34.85546875" style="1" bestFit="1" customWidth="1"/>
    <col min="4354" max="4354" width="12" style="1" customWidth="1"/>
    <col min="4355" max="4355" width="12.5703125" style="1" customWidth="1"/>
    <col min="4356" max="4356" width="12.28515625" style="1" customWidth="1"/>
    <col min="4357" max="4357" width="11.28515625" style="1" customWidth="1"/>
    <col min="4358" max="4358" width="16.140625" style="1" customWidth="1"/>
    <col min="4359" max="4359" width="20.42578125" style="1" customWidth="1"/>
    <col min="4360" max="4608" width="9.140625" style="1"/>
    <col min="4609" max="4609" width="34.85546875" style="1" bestFit="1" customWidth="1"/>
    <col min="4610" max="4610" width="12" style="1" customWidth="1"/>
    <col min="4611" max="4611" width="12.5703125" style="1" customWidth="1"/>
    <col min="4612" max="4612" width="12.28515625" style="1" customWidth="1"/>
    <col min="4613" max="4613" width="11.28515625" style="1" customWidth="1"/>
    <col min="4614" max="4614" width="16.140625" style="1" customWidth="1"/>
    <col min="4615" max="4615" width="20.42578125" style="1" customWidth="1"/>
    <col min="4616" max="4864" width="9.140625" style="1"/>
    <col min="4865" max="4865" width="34.85546875" style="1" bestFit="1" customWidth="1"/>
    <col min="4866" max="4866" width="12" style="1" customWidth="1"/>
    <col min="4867" max="4867" width="12.5703125" style="1" customWidth="1"/>
    <col min="4868" max="4868" width="12.28515625" style="1" customWidth="1"/>
    <col min="4869" max="4869" width="11.28515625" style="1" customWidth="1"/>
    <col min="4870" max="4870" width="16.140625" style="1" customWidth="1"/>
    <col min="4871" max="4871" width="20.42578125" style="1" customWidth="1"/>
    <col min="4872" max="5120" width="9.140625" style="1"/>
    <col min="5121" max="5121" width="34.85546875" style="1" bestFit="1" customWidth="1"/>
    <col min="5122" max="5122" width="12" style="1" customWidth="1"/>
    <col min="5123" max="5123" width="12.5703125" style="1" customWidth="1"/>
    <col min="5124" max="5124" width="12.28515625" style="1" customWidth="1"/>
    <col min="5125" max="5125" width="11.28515625" style="1" customWidth="1"/>
    <col min="5126" max="5126" width="16.140625" style="1" customWidth="1"/>
    <col min="5127" max="5127" width="20.42578125" style="1" customWidth="1"/>
    <col min="5128" max="5376" width="9.140625" style="1"/>
    <col min="5377" max="5377" width="34.85546875" style="1" bestFit="1" customWidth="1"/>
    <col min="5378" max="5378" width="12" style="1" customWidth="1"/>
    <col min="5379" max="5379" width="12.5703125" style="1" customWidth="1"/>
    <col min="5380" max="5380" width="12.28515625" style="1" customWidth="1"/>
    <col min="5381" max="5381" width="11.28515625" style="1" customWidth="1"/>
    <col min="5382" max="5382" width="16.140625" style="1" customWidth="1"/>
    <col min="5383" max="5383" width="20.42578125" style="1" customWidth="1"/>
    <col min="5384" max="5632" width="9.140625" style="1"/>
    <col min="5633" max="5633" width="34.85546875" style="1" bestFit="1" customWidth="1"/>
    <col min="5634" max="5634" width="12" style="1" customWidth="1"/>
    <col min="5635" max="5635" width="12.5703125" style="1" customWidth="1"/>
    <col min="5636" max="5636" width="12.28515625" style="1" customWidth="1"/>
    <col min="5637" max="5637" width="11.28515625" style="1" customWidth="1"/>
    <col min="5638" max="5638" width="16.140625" style="1" customWidth="1"/>
    <col min="5639" max="5639" width="20.42578125" style="1" customWidth="1"/>
    <col min="5640" max="5888" width="9.140625" style="1"/>
    <col min="5889" max="5889" width="34.85546875" style="1" bestFit="1" customWidth="1"/>
    <col min="5890" max="5890" width="12" style="1" customWidth="1"/>
    <col min="5891" max="5891" width="12.5703125" style="1" customWidth="1"/>
    <col min="5892" max="5892" width="12.28515625" style="1" customWidth="1"/>
    <col min="5893" max="5893" width="11.28515625" style="1" customWidth="1"/>
    <col min="5894" max="5894" width="16.140625" style="1" customWidth="1"/>
    <col min="5895" max="5895" width="20.42578125" style="1" customWidth="1"/>
    <col min="5896" max="6144" width="9.140625" style="1"/>
    <col min="6145" max="6145" width="34.85546875" style="1" bestFit="1" customWidth="1"/>
    <col min="6146" max="6146" width="12" style="1" customWidth="1"/>
    <col min="6147" max="6147" width="12.5703125" style="1" customWidth="1"/>
    <col min="6148" max="6148" width="12.28515625" style="1" customWidth="1"/>
    <col min="6149" max="6149" width="11.28515625" style="1" customWidth="1"/>
    <col min="6150" max="6150" width="16.140625" style="1" customWidth="1"/>
    <col min="6151" max="6151" width="20.42578125" style="1" customWidth="1"/>
    <col min="6152" max="6400" width="9.140625" style="1"/>
    <col min="6401" max="6401" width="34.85546875" style="1" bestFit="1" customWidth="1"/>
    <col min="6402" max="6402" width="12" style="1" customWidth="1"/>
    <col min="6403" max="6403" width="12.5703125" style="1" customWidth="1"/>
    <col min="6404" max="6404" width="12.28515625" style="1" customWidth="1"/>
    <col min="6405" max="6405" width="11.28515625" style="1" customWidth="1"/>
    <col min="6406" max="6406" width="16.140625" style="1" customWidth="1"/>
    <col min="6407" max="6407" width="20.42578125" style="1" customWidth="1"/>
    <col min="6408" max="6656" width="9.140625" style="1"/>
    <col min="6657" max="6657" width="34.85546875" style="1" bestFit="1" customWidth="1"/>
    <col min="6658" max="6658" width="12" style="1" customWidth="1"/>
    <col min="6659" max="6659" width="12.5703125" style="1" customWidth="1"/>
    <col min="6660" max="6660" width="12.28515625" style="1" customWidth="1"/>
    <col min="6661" max="6661" width="11.28515625" style="1" customWidth="1"/>
    <col min="6662" max="6662" width="16.140625" style="1" customWidth="1"/>
    <col min="6663" max="6663" width="20.42578125" style="1" customWidth="1"/>
    <col min="6664" max="6912" width="9.140625" style="1"/>
    <col min="6913" max="6913" width="34.85546875" style="1" bestFit="1" customWidth="1"/>
    <col min="6914" max="6914" width="12" style="1" customWidth="1"/>
    <col min="6915" max="6915" width="12.5703125" style="1" customWidth="1"/>
    <col min="6916" max="6916" width="12.28515625" style="1" customWidth="1"/>
    <col min="6917" max="6917" width="11.28515625" style="1" customWidth="1"/>
    <col min="6918" max="6918" width="16.140625" style="1" customWidth="1"/>
    <col min="6919" max="6919" width="20.42578125" style="1" customWidth="1"/>
    <col min="6920" max="7168" width="9.140625" style="1"/>
    <col min="7169" max="7169" width="34.85546875" style="1" bestFit="1" customWidth="1"/>
    <col min="7170" max="7170" width="12" style="1" customWidth="1"/>
    <col min="7171" max="7171" width="12.5703125" style="1" customWidth="1"/>
    <col min="7172" max="7172" width="12.28515625" style="1" customWidth="1"/>
    <col min="7173" max="7173" width="11.28515625" style="1" customWidth="1"/>
    <col min="7174" max="7174" width="16.140625" style="1" customWidth="1"/>
    <col min="7175" max="7175" width="20.42578125" style="1" customWidth="1"/>
    <col min="7176" max="7424" width="9.140625" style="1"/>
    <col min="7425" max="7425" width="34.85546875" style="1" bestFit="1" customWidth="1"/>
    <col min="7426" max="7426" width="12" style="1" customWidth="1"/>
    <col min="7427" max="7427" width="12.5703125" style="1" customWidth="1"/>
    <col min="7428" max="7428" width="12.28515625" style="1" customWidth="1"/>
    <col min="7429" max="7429" width="11.28515625" style="1" customWidth="1"/>
    <col min="7430" max="7430" width="16.140625" style="1" customWidth="1"/>
    <col min="7431" max="7431" width="20.42578125" style="1" customWidth="1"/>
    <col min="7432" max="7680" width="9.140625" style="1"/>
    <col min="7681" max="7681" width="34.85546875" style="1" bestFit="1" customWidth="1"/>
    <col min="7682" max="7682" width="12" style="1" customWidth="1"/>
    <col min="7683" max="7683" width="12.5703125" style="1" customWidth="1"/>
    <col min="7684" max="7684" width="12.28515625" style="1" customWidth="1"/>
    <col min="7685" max="7685" width="11.28515625" style="1" customWidth="1"/>
    <col min="7686" max="7686" width="16.140625" style="1" customWidth="1"/>
    <col min="7687" max="7687" width="20.42578125" style="1" customWidth="1"/>
    <col min="7688" max="7936" width="9.140625" style="1"/>
    <col min="7937" max="7937" width="34.85546875" style="1" bestFit="1" customWidth="1"/>
    <col min="7938" max="7938" width="12" style="1" customWidth="1"/>
    <col min="7939" max="7939" width="12.5703125" style="1" customWidth="1"/>
    <col min="7940" max="7940" width="12.28515625" style="1" customWidth="1"/>
    <col min="7941" max="7941" width="11.28515625" style="1" customWidth="1"/>
    <col min="7942" max="7942" width="16.140625" style="1" customWidth="1"/>
    <col min="7943" max="7943" width="20.42578125" style="1" customWidth="1"/>
    <col min="7944" max="8192" width="9.140625" style="1"/>
    <col min="8193" max="8193" width="34.85546875" style="1" bestFit="1" customWidth="1"/>
    <col min="8194" max="8194" width="12" style="1" customWidth="1"/>
    <col min="8195" max="8195" width="12.5703125" style="1" customWidth="1"/>
    <col min="8196" max="8196" width="12.28515625" style="1" customWidth="1"/>
    <col min="8197" max="8197" width="11.28515625" style="1" customWidth="1"/>
    <col min="8198" max="8198" width="16.140625" style="1" customWidth="1"/>
    <col min="8199" max="8199" width="20.42578125" style="1" customWidth="1"/>
    <col min="8200" max="8448" width="9.140625" style="1"/>
    <col min="8449" max="8449" width="34.85546875" style="1" bestFit="1" customWidth="1"/>
    <col min="8450" max="8450" width="12" style="1" customWidth="1"/>
    <col min="8451" max="8451" width="12.5703125" style="1" customWidth="1"/>
    <col min="8452" max="8452" width="12.28515625" style="1" customWidth="1"/>
    <col min="8453" max="8453" width="11.28515625" style="1" customWidth="1"/>
    <col min="8454" max="8454" width="16.140625" style="1" customWidth="1"/>
    <col min="8455" max="8455" width="20.42578125" style="1" customWidth="1"/>
    <col min="8456" max="8704" width="9.140625" style="1"/>
    <col min="8705" max="8705" width="34.85546875" style="1" bestFit="1" customWidth="1"/>
    <col min="8706" max="8706" width="12" style="1" customWidth="1"/>
    <col min="8707" max="8707" width="12.5703125" style="1" customWidth="1"/>
    <col min="8708" max="8708" width="12.28515625" style="1" customWidth="1"/>
    <col min="8709" max="8709" width="11.28515625" style="1" customWidth="1"/>
    <col min="8710" max="8710" width="16.140625" style="1" customWidth="1"/>
    <col min="8711" max="8711" width="20.42578125" style="1" customWidth="1"/>
    <col min="8712" max="8960" width="9.140625" style="1"/>
    <col min="8961" max="8961" width="34.85546875" style="1" bestFit="1" customWidth="1"/>
    <col min="8962" max="8962" width="12" style="1" customWidth="1"/>
    <col min="8963" max="8963" width="12.5703125" style="1" customWidth="1"/>
    <col min="8964" max="8964" width="12.28515625" style="1" customWidth="1"/>
    <col min="8965" max="8965" width="11.28515625" style="1" customWidth="1"/>
    <col min="8966" max="8966" width="16.140625" style="1" customWidth="1"/>
    <col min="8967" max="8967" width="20.42578125" style="1" customWidth="1"/>
    <col min="8968" max="9216" width="9.140625" style="1"/>
    <col min="9217" max="9217" width="34.85546875" style="1" bestFit="1" customWidth="1"/>
    <col min="9218" max="9218" width="12" style="1" customWidth="1"/>
    <col min="9219" max="9219" width="12.5703125" style="1" customWidth="1"/>
    <col min="9220" max="9220" width="12.28515625" style="1" customWidth="1"/>
    <col min="9221" max="9221" width="11.28515625" style="1" customWidth="1"/>
    <col min="9222" max="9222" width="16.140625" style="1" customWidth="1"/>
    <col min="9223" max="9223" width="20.42578125" style="1" customWidth="1"/>
    <col min="9224" max="9472" width="9.140625" style="1"/>
    <col min="9473" max="9473" width="34.85546875" style="1" bestFit="1" customWidth="1"/>
    <col min="9474" max="9474" width="12" style="1" customWidth="1"/>
    <col min="9475" max="9475" width="12.5703125" style="1" customWidth="1"/>
    <col min="9476" max="9476" width="12.28515625" style="1" customWidth="1"/>
    <col min="9477" max="9477" width="11.28515625" style="1" customWidth="1"/>
    <col min="9478" max="9478" width="16.140625" style="1" customWidth="1"/>
    <col min="9479" max="9479" width="20.42578125" style="1" customWidth="1"/>
    <col min="9480" max="9728" width="9.140625" style="1"/>
    <col min="9729" max="9729" width="34.85546875" style="1" bestFit="1" customWidth="1"/>
    <col min="9730" max="9730" width="12" style="1" customWidth="1"/>
    <col min="9731" max="9731" width="12.5703125" style="1" customWidth="1"/>
    <col min="9732" max="9732" width="12.28515625" style="1" customWidth="1"/>
    <col min="9733" max="9733" width="11.28515625" style="1" customWidth="1"/>
    <col min="9734" max="9734" width="16.140625" style="1" customWidth="1"/>
    <col min="9735" max="9735" width="20.42578125" style="1" customWidth="1"/>
    <col min="9736" max="9984" width="9.140625" style="1"/>
    <col min="9985" max="9985" width="34.85546875" style="1" bestFit="1" customWidth="1"/>
    <col min="9986" max="9986" width="12" style="1" customWidth="1"/>
    <col min="9987" max="9987" width="12.5703125" style="1" customWidth="1"/>
    <col min="9988" max="9988" width="12.28515625" style="1" customWidth="1"/>
    <col min="9989" max="9989" width="11.28515625" style="1" customWidth="1"/>
    <col min="9990" max="9990" width="16.140625" style="1" customWidth="1"/>
    <col min="9991" max="9991" width="20.42578125" style="1" customWidth="1"/>
    <col min="9992" max="10240" width="9.140625" style="1"/>
    <col min="10241" max="10241" width="34.85546875" style="1" bestFit="1" customWidth="1"/>
    <col min="10242" max="10242" width="12" style="1" customWidth="1"/>
    <col min="10243" max="10243" width="12.5703125" style="1" customWidth="1"/>
    <col min="10244" max="10244" width="12.28515625" style="1" customWidth="1"/>
    <col min="10245" max="10245" width="11.28515625" style="1" customWidth="1"/>
    <col min="10246" max="10246" width="16.140625" style="1" customWidth="1"/>
    <col min="10247" max="10247" width="20.42578125" style="1" customWidth="1"/>
    <col min="10248" max="10496" width="9.140625" style="1"/>
    <col min="10497" max="10497" width="34.85546875" style="1" bestFit="1" customWidth="1"/>
    <col min="10498" max="10498" width="12" style="1" customWidth="1"/>
    <col min="10499" max="10499" width="12.5703125" style="1" customWidth="1"/>
    <col min="10500" max="10500" width="12.28515625" style="1" customWidth="1"/>
    <col min="10501" max="10501" width="11.28515625" style="1" customWidth="1"/>
    <col min="10502" max="10502" width="16.140625" style="1" customWidth="1"/>
    <col min="10503" max="10503" width="20.42578125" style="1" customWidth="1"/>
    <col min="10504" max="10752" width="9.140625" style="1"/>
    <col min="10753" max="10753" width="34.85546875" style="1" bestFit="1" customWidth="1"/>
    <col min="10754" max="10754" width="12" style="1" customWidth="1"/>
    <col min="10755" max="10755" width="12.5703125" style="1" customWidth="1"/>
    <col min="10756" max="10756" width="12.28515625" style="1" customWidth="1"/>
    <col min="10757" max="10757" width="11.28515625" style="1" customWidth="1"/>
    <col min="10758" max="10758" width="16.140625" style="1" customWidth="1"/>
    <col min="10759" max="10759" width="20.42578125" style="1" customWidth="1"/>
    <col min="10760" max="11008" width="9.140625" style="1"/>
    <col min="11009" max="11009" width="34.85546875" style="1" bestFit="1" customWidth="1"/>
    <col min="11010" max="11010" width="12" style="1" customWidth="1"/>
    <col min="11011" max="11011" width="12.5703125" style="1" customWidth="1"/>
    <col min="11012" max="11012" width="12.28515625" style="1" customWidth="1"/>
    <col min="11013" max="11013" width="11.28515625" style="1" customWidth="1"/>
    <col min="11014" max="11014" width="16.140625" style="1" customWidth="1"/>
    <col min="11015" max="11015" width="20.42578125" style="1" customWidth="1"/>
    <col min="11016" max="11264" width="9.140625" style="1"/>
    <col min="11265" max="11265" width="34.85546875" style="1" bestFit="1" customWidth="1"/>
    <col min="11266" max="11266" width="12" style="1" customWidth="1"/>
    <col min="11267" max="11267" width="12.5703125" style="1" customWidth="1"/>
    <col min="11268" max="11268" width="12.28515625" style="1" customWidth="1"/>
    <col min="11269" max="11269" width="11.28515625" style="1" customWidth="1"/>
    <col min="11270" max="11270" width="16.140625" style="1" customWidth="1"/>
    <col min="11271" max="11271" width="20.42578125" style="1" customWidth="1"/>
    <col min="11272" max="11520" width="9.140625" style="1"/>
    <col min="11521" max="11521" width="34.85546875" style="1" bestFit="1" customWidth="1"/>
    <col min="11522" max="11522" width="12" style="1" customWidth="1"/>
    <col min="11523" max="11523" width="12.5703125" style="1" customWidth="1"/>
    <col min="11524" max="11524" width="12.28515625" style="1" customWidth="1"/>
    <col min="11525" max="11525" width="11.28515625" style="1" customWidth="1"/>
    <col min="11526" max="11526" width="16.140625" style="1" customWidth="1"/>
    <col min="11527" max="11527" width="20.42578125" style="1" customWidth="1"/>
    <col min="11528" max="11776" width="9.140625" style="1"/>
    <col min="11777" max="11777" width="34.85546875" style="1" bestFit="1" customWidth="1"/>
    <col min="11778" max="11778" width="12" style="1" customWidth="1"/>
    <col min="11779" max="11779" width="12.5703125" style="1" customWidth="1"/>
    <col min="11780" max="11780" width="12.28515625" style="1" customWidth="1"/>
    <col min="11781" max="11781" width="11.28515625" style="1" customWidth="1"/>
    <col min="11782" max="11782" width="16.140625" style="1" customWidth="1"/>
    <col min="11783" max="11783" width="20.42578125" style="1" customWidth="1"/>
    <col min="11784" max="12032" width="9.140625" style="1"/>
    <col min="12033" max="12033" width="34.85546875" style="1" bestFit="1" customWidth="1"/>
    <col min="12034" max="12034" width="12" style="1" customWidth="1"/>
    <col min="12035" max="12035" width="12.5703125" style="1" customWidth="1"/>
    <col min="12036" max="12036" width="12.28515625" style="1" customWidth="1"/>
    <col min="12037" max="12037" width="11.28515625" style="1" customWidth="1"/>
    <col min="12038" max="12038" width="16.140625" style="1" customWidth="1"/>
    <col min="12039" max="12039" width="20.42578125" style="1" customWidth="1"/>
    <col min="12040" max="12288" width="9.140625" style="1"/>
    <col min="12289" max="12289" width="34.85546875" style="1" bestFit="1" customWidth="1"/>
    <col min="12290" max="12290" width="12" style="1" customWidth="1"/>
    <col min="12291" max="12291" width="12.5703125" style="1" customWidth="1"/>
    <col min="12292" max="12292" width="12.28515625" style="1" customWidth="1"/>
    <col min="12293" max="12293" width="11.28515625" style="1" customWidth="1"/>
    <col min="12294" max="12294" width="16.140625" style="1" customWidth="1"/>
    <col min="12295" max="12295" width="20.42578125" style="1" customWidth="1"/>
    <col min="12296" max="12544" width="9.140625" style="1"/>
    <col min="12545" max="12545" width="34.85546875" style="1" bestFit="1" customWidth="1"/>
    <col min="12546" max="12546" width="12" style="1" customWidth="1"/>
    <col min="12547" max="12547" width="12.5703125" style="1" customWidth="1"/>
    <col min="12548" max="12548" width="12.28515625" style="1" customWidth="1"/>
    <col min="12549" max="12549" width="11.28515625" style="1" customWidth="1"/>
    <col min="12550" max="12550" width="16.140625" style="1" customWidth="1"/>
    <col min="12551" max="12551" width="20.42578125" style="1" customWidth="1"/>
    <col min="12552" max="12800" width="9.140625" style="1"/>
    <col min="12801" max="12801" width="34.85546875" style="1" bestFit="1" customWidth="1"/>
    <col min="12802" max="12802" width="12" style="1" customWidth="1"/>
    <col min="12803" max="12803" width="12.5703125" style="1" customWidth="1"/>
    <col min="12804" max="12804" width="12.28515625" style="1" customWidth="1"/>
    <col min="12805" max="12805" width="11.28515625" style="1" customWidth="1"/>
    <col min="12806" max="12806" width="16.140625" style="1" customWidth="1"/>
    <col min="12807" max="12807" width="20.42578125" style="1" customWidth="1"/>
    <col min="12808" max="13056" width="9.140625" style="1"/>
    <col min="13057" max="13057" width="34.85546875" style="1" bestFit="1" customWidth="1"/>
    <col min="13058" max="13058" width="12" style="1" customWidth="1"/>
    <col min="13059" max="13059" width="12.5703125" style="1" customWidth="1"/>
    <col min="13060" max="13060" width="12.28515625" style="1" customWidth="1"/>
    <col min="13061" max="13061" width="11.28515625" style="1" customWidth="1"/>
    <col min="13062" max="13062" width="16.140625" style="1" customWidth="1"/>
    <col min="13063" max="13063" width="20.42578125" style="1" customWidth="1"/>
    <col min="13064" max="13312" width="9.140625" style="1"/>
    <col min="13313" max="13313" width="34.85546875" style="1" bestFit="1" customWidth="1"/>
    <col min="13314" max="13314" width="12" style="1" customWidth="1"/>
    <col min="13315" max="13315" width="12.5703125" style="1" customWidth="1"/>
    <col min="13316" max="13316" width="12.28515625" style="1" customWidth="1"/>
    <col min="13317" max="13317" width="11.28515625" style="1" customWidth="1"/>
    <col min="13318" max="13318" width="16.140625" style="1" customWidth="1"/>
    <col min="13319" max="13319" width="20.42578125" style="1" customWidth="1"/>
    <col min="13320" max="13568" width="9.140625" style="1"/>
    <col min="13569" max="13569" width="34.85546875" style="1" bestFit="1" customWidth="1"/>
    <col min="13570" max="13570" width="12" style="1" customWidth="1"/>
    <col min="13571" max="13571" width="12.5703125" style="1" customWidth="1"/>
    <col min="13572" max="13572" width="12.28515625" style="1" customWidth="1"/>
    <col min="13573" max="13573" width="11.28515625" style="1" customWidth="1"/>
    <col min="13574" max="13574" width="16.140625" style="1" customWidth="1"/>
    <col min="13575" max="13575" width="20.42578125" style="1" customWidth="1"/>
    <col min="13576" max="13824" width="9.140625" style="1"/>
    <col min="13825" max="13825" width="34.85546875" style="1" bestFit="1" customWidth="1"/>
    <col min="13826" max="13826" width="12" style="1" customWidth="1"/>
    <col min="13827" max="13827" width="12.5703125" style="1" customWidth="1"/>
    <col min="13828" max="13828" width="12.28515625" style="1" customWidth="1"/>
    <col min="13829" max="13829" width="11.28515625" style="1" customWidth="1"/>
    <col min="13830" max="13830" width="16.140625" style="1" customWidth="1"/>
    <col min="13831" max="13831" width="20.42578125" style="1" customWidth="1"/>
    <col min="13832" max="14080" width="9.140625" style="1"/>
    <col min="14081" max="14081" width="34.85546875" style="1" bestFit="1" customWidth="1"/>
    <col min="14082" max="14082" width="12" style="1" customWidth="1"/>
    <col min="14083" max="14083" width="12.5703125" style="1" customWidth="1"/>
    <col min="14084" max="14084" width="12.28515625" style="1" customWidth="1"/>
    <col min="14085" max="14085" width="11.28515625" style="1" customWidth="1"/>
    <col min="14086" max="14086" width="16.140625" style="1" customWidth="1"/>
    <col min="14087" max="14087" width="20.42578125" style="1" customWidth="1"/>
    <col min="14088" max="14336" width="9.140625" style="1"/>
    <col min="14337" max="14337" width="34.85546875" style="1" bestFit="1" customWidth="1"/>
    <col min="14338" max="14338" width="12" style="1" customWidth="1"/>
    <col min="14339" max="14339" width="12.5703125" style="1" customWidth="1"/>
    <col min="14340" max="14340" width="12.28515625" style="1" customWidth="1"/>
    <col min="14341" max="14341" width="11.28515625" style="1" customWidth="1"/>
    <col min="14342" max="14342" width="16.140625" style="1" customWidth="1"/>
    <col min="14343" max="14343" width="20.42578125" style="1" customWidth="1"/>
    <col min="14344" max="14592" width="9.140625" style="1"/>
    <col min="14593" max="14593" width="34.85546875" style="1" bestFit="1" customWidth="1"/>
    <col min="14594" max="14594" width="12" style="1" customWidth="1"/>
    <col min="14595" max="14595" width="12.5703125" style="1" customWidth="1"/>
    <col min="14596" max="14596" width="12.28515625" style="1" customWidth="1"/>
    <col min="14597" max="14597" width="11.28515625" style="1" customWidth="1"/>
    <col min="14598" max="14598" width="16.140625" style="1" customWidth="1"/>
    <col min="14599" max="14599" width="20.42578125" style="1" customWidth="1"/>
    <col min="14600" max="14848" width="9.140625" style="1"/>
    <col min="14849" max="14849" width="34.85546875" style="1" bestFit="1" customWidth="1"/>
    <col min="14850" max="14850" width="12" style="1" customWidth="1"/>
    <col min="14851" max="14851" width="12.5703125" style="1" customWidth="1"/>
    <col min="14852" max="14852" width="12.28515625" style="1" customWidth="1"/>
    <col min="14853" max="14853" width="11.28515625" style="1" customWidth="1"/>
    <col min="14854" max="14854" width="16.140625" style="1" customWidth="1"/>
    <col min="14855" max="14855" width="20.42578125" style="1" customWidth="1"/>
    <col min="14856" max="15104" width="9.140625" style="1"/>
    <col min="15105" max="15105" width="34.85546875" style="1" bestFit="1" customWidth="1"/>
    <col min="15106" max="15106" width="12" style="1" customWidth="1"/>
    <col min="15107" max="15107" width="12.5703125" style="1" customWidth="1"/>
    <col min="15108" max="15108" width="12.28515625" style="1" customWidth="1"/>
    <col min="15109" max="15109" width="11.28515625" style="1" customWidth="1"/>
    <col min="15110" max="15110" width="16.140625" style="1" customWidth="1"/>
    <col min="15111" max="15111" width="20.42578125" style="1" customWidth="1"/>
    <col min="15112" max="15360" width="9.140625" style="1"/>
    <col min="15361" max="15361" width="34.85546875" style="1" bestFit="1" customWidth="1"/>
    <col min="15362" max="15362" width="12" style="1" customWidth="1"/>
    <col min="15363" max="15363" width="12.5703125" style="1" customWidth="1"/>
    <col min="15364" max="15364" width="12.28515625" style="1" customWidth="1"/>
    <col min="15365" max="15365" width="11.28515625" style="1" customWidth="1"/>
    <col min="15366" max="15366" width="16.140625" style="1" customWidth="1"/>
    <col min="15367" max="15367" width="20.42578125" style="1" customWidth="1"/>
    <col min="15368" max="15616" width="9.140625" style="1"/>
    <col min="15617" max="15617" width="34.85546875" style="1" bestFit="1" customWidth="1"/>
    <col min="15618" max="15618" width="12" style="1" customWidth="1"/>
    <col min="15619" max="15619" width="12.5703125" style="1" customWidth="1"/>
    <col min="15620" max="15620" width="12.28515625" style="1" customWidth="1"/>
    <col min="15621" max="15621" width="11.28515625" style="1" customWidth="1"/>
    <col min="15622" max="15622" width="16.140625" style="1" customWidth="1"/>
    <col min="15623" max="15623" width="20.42578125" style="1" customWidth="1"/>
    <col min="15624" max="15872" width="9.140625" style="1"/>
    <col min="15873" max="15873" width="34.85546875" style="1" bestFit="1" customWidth="1"/>
    <col min="15874" max="15874" width="12" style="1" customWidth="1"/>
    <col min="15875" max="15875" width="12.5703125" style="1" customWidth="1"/>
    <col min="15876" max="15876" width="12.28515625" style="1" customWidth="1"/>
    <col min="15877" max="15877" width="11.28515625" style="1" customWidth="1"/>
    <col min="15878" max="15878" width="16.140625" style="1" customWidth="1"/>
    <col min="15879" max="15879" width="20.42578125" style="1" customWidth="1"/>
    <col min="15880" max="16128" width="9.140625" style="1"/>
    <col min="16129" max="16129" width="34.85546875" style="1" bestFit="1" customWidth="1"/>
    <col min="16130" max="16130" width="12" style="1" customWidth="1"/>
    <col min="16131" max="16131" width="12.5703125" style="1" customWidth="1"/>
    <col min="16132" max="16132" width="12.28515625" style="1" customWidth="1"/>
    <col min="16133" max="16133" width="11.28515625" style="1" customWidth="1"/>
    <col min="16134" max="16134" width="16.140625" style="1" customWidth="1"/>
    <col min="16135" max="16135" width="20.42578125" style="1" customWidth="1"/>
    <col min="16136" max="16384" width="9.140625" style="1"/>
  </cols>
  <sheetData>
    <row r="1" spans="1:7" x14ac:dyDescent="0.3">
      <c r="A1" s="145" t="s">
        <v>113</v>
      </c>
      <c r="B1" s="145"/>
      <c r="C1" s="145"/>
      <c r="D1" s="145"/>
      <c r="E1" s="145"/>
      <c r="F1" s="145"/>
      <c r="G1" s="145"/>
    </row>
    <row r="2" spans="1:7" ht="74.25" customHeight="1" x14ac:dyDescent="0.3">
      <c r="A2" s="146" t="s">
        <v>137</v>
      </c>
      <c r="B2" s="146"/>
      <c r="C2" s="146"/>
      <c r="D2" s="146"/>
      <c r="E2" s="146"/>
      <c r="F2" s="146"/>
      <c r="G2" s="146"/>
    </row>
    <row r="3" spans="1:7" x14ac:dyDescent="0.3">
      <c r="A3" s="146"/>
      <c r="B3" s="146"/>
      <c r="C3" s="146"/>
      <c r="D3" s="146"/>
      <c r="E3" s="146"/>
      <c r="F3" s="146"/>
      <c r="G3" s="146"/>
    </row>
    <row r="4" spans="1:7" x14ac:dyDescent="0.3">
      <c r="A4" s="81" t="s">
        <v>109</v>
      </c>
    </row>
    <row r="5" spans="1:7" x14ac:dyDescent="0.3">
      <c r="A5" s="81"/>
    </row>
    <row r="6" spans="1:7" x14ac:dyDescent="0.3">
      <c r="A6" s="8" t="s">
        <v>61</v>
      </c>
    </row>
    <row r="7" spans="1:7" ht="30" x14ac:dyDescent="0.3">
      <c r="A7" s="126" t="s">
        <v>0</v>
      </c>
      <c r="B7" s="126" t="s">
        <v>1</v>
      </c>
      <c r="C7" s="126"/>
      <c r="D7" s="138" t="s">
        <v>2</v>
      </c>
      <c r="E7" s="138" t="s">
        <v>3</v>
      </c>
      <c r="F7" s="126" t="s">
        <v>4</v>
      </c>
      <c r="G7" s="17" t="s">
        <v>5</v>
      </c>
    </row>
    <row r="8" spans="1:7" x14ac:dyDescent="0.3">
      <c r="A8" s="126"/>
      <c r="B8" s="17" t="s">
        <v>6</v>
      </c>
      <c r="C8" s="17" t="s">
        <v>7</v>
      </c>
      <c r="D8" s="131"/>
      <c r="E8" s="131"/>
      <c r="F8" s="126"/>
      <c r="G8" s="17" t="s">
        <v>8</v>
      </c>
    </row>
    <row r="9" spans="1:7" x14ac:dyDescent="0.3">
      <c r="A9" s="83" t="s">
        <v>62</v>
      </c>
      <c r="B9" s="3">
        <v>80</v>
      </c>
      <c r="C9" s="3">
        <f>B9*100%</f>
        <v>80</v>
      </c>
      <c r="D9" s="3">
        <f>C9*10%</f>
        <v>8</v>
      </c>
      <c r="E9" s="3">
        <f>C9*1.3%</f>
        <v>1.04</v>
      </c>
      <c r="F9" s="3">
        <f>C9*69%</f>
        <v>55.199999999999996</v>
      </c>
      <c r="G9" s="3">
        <f t="shared" ref="G9:G14" si="0">4*(D9+F9)+9*E9</f>
        <v>262.15999999999997</v>
      </c>
    </row>
    <row r="10" spans="1:7" x14ac:dyDescent="0.3">
      <c r="A10" s="83" t="s">
        <v>63</v>
      </c>
      <c r="B10" s="3">
        <v>72</v>
      </c>
      <c r="C10" s="3">
        <f>80%*B10</f>
        <v>57.6</v>
      </c>
      <c r="D10" s="3">
        <f>17.9%*C10</f>
        <v>10.3104</v>
      </c>
      <c r="E10" s="3">
        <f>14.3%*C10</f>
        <v>8.2368000000000006</v>
      </c>
      <c r="F10" s="3"/>
      <c r="G10" s="3">
        <f t="shared" si="0"/>
        <v>115.37280000000001</v>
      </c>
    </row>
    <row r="11" spans="1:7" x14ac:dyDescent="0.3">
      <c r="A11" s="83" t="s">
        <v>64</v>
      </c>
      <c r="B11" s="3">
        <v>0.25</v>
      </c>
      <c r="C11" s="3">
        <f>B11*48</f>
        <v>12</v>
      </c>
      <c r="D11" s="3">
        <f>12.7%*C11</f>
        <v>1.524</v>
      </c>
      <c r="E11" s="3">
        <f>11.5%*C11</f>
        <v>1.3800000000000001</v>
      </c>
      <c r="F11" s="3"/>
      <c r="G11" s="3">
        <f t="shared" si="0"/>
        <v>18.516000000000002</v>
      </c>
    </row>
    <row r="12" spans="1:7" x14ac:dyDescent="0.3">
      <c r="A12" s="83" t="s">
        <v>41</v>
      </c>
      <c r="B12" s="3">
        <v>1</v>
      </c>
      <c r="C12" s="3">
        <f>100%*B12</f>
        <v>1</v>
      </c>
      <c r="D12" s="3"/>
      <c r="E12" s="3"/>
      <c r="F12" s="3"/>
      <c r="G12" s="3">
        <f t="shared" si="0"/>
        <v>0</v>
      </c>
    </row>
    <row r="13" spans="1:7" x14ac:dyDescent="0.3">
      <c r="A13" s="83" t="s">
        <v>9</v>
      </c>
      <c r="B13" s="3">
        <v>5</v>
      </c>
      <c r="C13" s="3">
        <f>100%*B13</f>
        <v>5</v>
      </c>
      <c r="D13" s="3"/>
      <c r="E13" s="3">
        <f>72.57%*C13</f>
        <v>3.6284999999999994</v>
      </c>
      <c r="F13" s="3"/>
      <c r="G13" s="3">
        <f t="shared" si="0"/>
        <v>32.656499999999994</v>
      </c>
    </row>
    <row r="14" spans="1:7" x14ac:dyDescent="0.3">
      <c r="A14" s="83" t="s">
        <v>11</v>
      </c>
      <c r="B14" s="3">
        <v>1</v>
      </c>
      <c r="C14" s="3">
        <f>100%*B14</f>
        <v>1</v>
      </c>
      <c r="D14" s="3"/>
      <c r="E14" s="3"/>
      <c r="F14" s="3"/>
      <c r="G14" s="3">
        <f t="shared" si="0"/>
        <v>0</v>
      </c>
    </row>
    <row r="15" spans="1:7" x14ac:dyDescent="0.3">
      <c r="A15" s="17" t="s">
        <v>13</v>
      </c>
      <c r="B15" s="134">
        <v>160</v>
      </c>
      <c r="C15" s="135"/>
      <c r="D15" s="22">
        <f>SUM(D9:D14)</f>
        <v>19.834400000000002</v>
      </c>
      <c r="E15" s="22">
        <f>SUM(E9:E14)</f>
        <v>14.285300000000001</v>
      </c>
      <c r="F15" s="22">
        <f>SUM(F9:F14)</f>
        <v>55.199999999999996</v>
      </c>
      <c r="G15" s="22">
        <f>SUM(G9:G14)</f>
        <v>428.70529999999997</v>
      </c>
    </row>
    <row r="16" spans="1:7" s="32" customFormat="1" x14ac:dyDescent="0.3">
      <c r="A16" s="1"/>
      <c r="B16" s="1"/>
      <c r="C16" s="1"/>
      <c r="D16" s="1"/>
      <c r="E16" s="1"/>
      <c r="F16" s="1"/>
      <c r="G16" s="1"/>
    </row>
    <row r="17" spans="1:7" s="5" customFormat="1" ht="30" x14ac:dyDescent="0.3">
      <c r="A17" s="126" t="s">
        <v>0</v>
      </c>
      <c r="B17" s="126" t="s">
        <v>1</v>
      </c>
      <c r="C17" s="126"/>
      <c r="D17" s="138" t="s">
        <v>2</v>
      </c>
      <c r="E17" s="138" t="s">
        <v>3</v>
      </c>
      <c r="F17" s="126" t="s">
        <v>30</v>
      </c>
      <c r="G17" s="17" t="s">
        <v>5</v>
      </c>
    </row>
    <row r="18" spans="1:7" s="5" customFormat="1" x14ac:dyDescent="0.3">
      <c r="A18" s="126"/>
      <c r="B18" s="17" t="s">
        <v>6</v>
      </c>
      <c r="C18" s="17" t="s">
        <v>7</v>
      </c>
      <c r="D18" s="131"/>
      <c r="E18" s="131"/>
      <c r="F18" s="126"/>
      <c r="G18" s="17" t="s">
        <v>8</v>
      </c>
    </row>
    <row r="19" spans="1:7" s="5" customFormat="1" x14ac:dyDescent="0.3">
      <c r="A19" s="18" t="s">
        <v>48</v>
      </c>
      <c r="B19" s="35">
        <v>5</v>
      </c>
      <c r="C19" s="35">
        <f>100%*B19</f>
        <v>5</v>
      </c>
      <c r="D19" s="35">
        <f>20%*C19</f>
        <v>1</v>
      </c>
      <c r="E19" s="35">
        <f>13%*C19</f>
        <v>0.65</v>
      </c>
      <c r="F19" s="35">
        <f>26.6%*C19</f>
        <v>1.33</v>
      </c>
      <c r="G19" s="35">
        <f>4*(D19+F19)+9*E19</f>
        <v>15.170000000000002</v>
      </c>
    </row>
    <row r="20" spans="1:7" s="5" customFormat="1" x14ac:dyDescent="0.3">
      <c r="A20" s="34" t="s">
        <v>10</v>
      </c>
      <c r="B20" s="35">
        <v>10</v>
      </c>
      <c r="C20" s="35">
        <f>100%*B20</f>
        <v>10</v>
      </c>
      <c r="D20" s="35"/>
      <c r="E20" s="35"/>
      <c r="F20" s="35">
        <f>99%*C20</f>
        <v>9.9</v>
      </c>
      <c r="G20" s="35">
        <f>4*(D20+F20)+9*E20</f>
        <v>39.6</v>
      </c>
    </row>
    <row r="21" spans="1:7" s="5" customFormat="1" x14ac:dyDescent="0.3">
      <c r="A21" s="36" t="s">
        <v>13</v>
      </c>
      <c r="B21" s="161">
        <v>200</v>
      </c>
      <c r="C21" s="162"/>
      <c r="D21" s="35"/>
      <c r="E21" s="35"/>
      <c r="F21" s="35">
        <f>SUM(F19:F20)</f>
        <v>11.23</v>
      </c>
      <c r="G21" s="35">
        <f>SUM(G19:G20)</f>
        <v>54.77</v>
      </c>
    </row>
    <row r="22" spans="1:7" s="32" customFormat="1" x14ac:dyDescent="0.3">
      <c r="A22" s="1"/>
      <c r="B22" s="1"/>
      <c r="C22" s="1"/>
      <c r="D22" s="1"/>
      <c r="E22" s="1"/>
      <c r="F22" s="1"/>
      <c r="G22" s="1"/>
    </row>
    <row r="23" spans="1:7" x14ac:dyDescent="0.3">
      <c r="A23" s="84"/>
      <c r="B23" s="47"/>
      <c r="C23" s="47"/>
      <c r="D23" s="47"/>
      <c r="E23" s="47"/>
      <c r="F23" s="47"/>
      <c r="G23" s="47"/>
    </row>
    <row r="24" spans="1:7" x14ac:dyDescent="0.3">
      <c r="A24" s="85" t="s">
        <v>110</v>
      </c>
      <c r="B24" s="125">
        <f>B15+B21</f>
        <v>360</v>
      </c>
      <c r="C24" s="125"/>
      <c r="D24" s="26">
        <f>-D21+D15</f>
        <v>19.834400000000002</v>
      </c>
      <c r="E24" s="26">
        <f t="shared" ref="E24:G24" si="1">-E21+E15</f>
        <v>14.285300000000001</v>
      </c>
      <c r="F24" s="26">
        <f t="shared" si="1"/>
        <v>43.97</v>
      </c>
      <c r="G24" s="26">
        <f t="shared" si="1"/>
        <v>373.93529999999998</v>
      </c>
    </row>
    <row r="25" spans="1:7" x14ac:dyDescent="0.3">
      <c r="A25" s="45"/>
      <c r="B25" s="45"/>
      <c r="C25" s="45"/>
      <c r="D25" s="47"/>
      <c r="E25" s="47"/>
      <c r="F25" s="47"/>
      <c r="G25" s="47"/>
    </row>
    <row r="26" spans="1:7" x14ac:dyDescent="0.3">
      <c r="A26" s="86" t="s">
        <v>135</v>
      </c>
      <c r="B26" s="45"/>
      <c r="C26" s="45"/>
      <c r="D26" s="47"/>
      <c r="E26" s="47"/>
      <c r="F26" s="47"/>
      <c r="G26" s="47"/>
    </row>
    <row r="28" spans="1:7" x14ac:dyDescent="0.3">
      <c r="A28" s="144" t="s">
        <v>29</v>
      </c>
      <c r="B28" s="144"/>
      <c r="C28" s="144"/>
      <c r="D28" s="144"/>
      <c r="E28" s="144"/>
      <c r="F28" s="144"/>
      <c r="G28" s="144"/>
    </row>
    <row r="29" spans="1:7" ht="30" x14ac:dyDescent="0.3">
      <c r="A29" s="126" t="s">
        <v>0</v>
      </c>
      <c r="B29" s="126" t="s">
        <v>1</v>
      </c>
      <c r="C29" s="126"/>
      <c r="D29" s="138" t="s">
        <v>2</v>
      </c>
      <c r="E29" s="138" t="s">
        <v>3</v>
      </c>
      <c r="F29" s="126" t="s">
        <v>30</v>
      </c>
      <c r="G29" s="17" t="s">
        <v>5</v>
      </c>
    </row>
    <row r="30" spans="1:7" x14ac:dyDescent="0.3">
      <c r="A30" s="126"/>
      <c r="B30" s="17" t="s">
        <v>6</v>
      </c>
      <c r="C30" s="17" t="s">
        <v>7</v>
      </c>
      <c r="D30" s="131"/>
      <c r="E30" s="131"/>
      <c r="F30" s="126"/>
      <c r="G30" s="17" t="s">
        <v>8</v>
      </c>
    </row>
    <row r="31" spans="1:7" ht="30" x14ac:dyDescent="0.3">
      <c r="A31" s="87" t="s">
        <v>31</v>
      </c>
      <c r="B31" s="3">
        <v>280</v>
      </c>
      <c r="C31" s="3">
        <f>B31*72%</f>
        <v>201.6</v>
      </c>
      <c r="D31" s="3">
        <f>18.5%*C31</f>
        <v>37.295999999999999</v>
      </c>
      <c r="E31" s="3">
        <f>15.9%*C31</f>
        <v>32.054400000000001</v>
      </c>
      <c r="F31" s="3"/>
      <c r="G31" s="3">
        <f>4*(D31+F31)+9*E31</f>
        <v>437.67359999999996</v>
      </c>
    </row>
    <row r="32" spans="1:7" x14ac:dyDescent="0.3">
      <c r="A32" s="87" t="s">
        <v>32</v>
      </c>
      <c r="B32" s="3">
        <v>60</v>
      </c>
      <c r="C32" s="3">
        <f>100%*B32</f>
        <v>60</v>
      </c>
      <c r="D32" s="3">
        <f>2.6%*C32</f>
        <v>1.56</v>
      </c>
      <c r="E32" s="3">
        <f>20%*C32</f>
        <v>12</v>
      </c>
      <c r="F32" s="3">
        <f>3.8%*C32</f>
        <v>2.2799999999999998</v>
      </c>
      <c r="G32" s="3">
        <f>4*(D32+F32)+9*E32</f>
        <v>123.36</v>
      </c>
    </row>
    <row r="33" spans="1:7" x14ac:dyDescent="0.3">
      <c r="A33" s="87" t="s">
        <v>26</v>
      </c>
      <c r="B33" s="3">
        <v>0.1</v>
      </c>
      <c r="C33" s="3">
        <f>100%*B33</f>
        <v>0.1</v>
      </c>
      <c r="D33" s="3"/>
      <c r="E33" s="3"/>
      <c r="F33" s="3"/>
      <c r="G33" s="3">
        <f>4*(D33+F33)+9*E33</f>
        <v>0</v>
      </c>
    </row>
    <row r="34" spans="1:7" x14ac:dyDescent="0.3">
      <c r="A34" s="87" t="s">
        <v>27</v>
      </c>
      <c r="B34" s="3">
        <v>1.5</v>
      </c>
      <c r="C34" s="3">
        <f>85%*B34</f>
        <v>1.2749999999999999</v>
      </c>
      <c r="D34" s="3"/>
      <c r="E34" s="3"/>
      <c r="F34" s="3"/>
      <c r="G34" s="3">
        <f>4*(D34+F34)+9*E34</f>
        <v>0</v>
      </c>
    </row>
    <row r="35" spans="1:7" x14ac:dyDescent="0.3">
      <c r="A35" s="83" t="s">
        <v>11</v>
      </c>
      <c r="B35" s="3">
        <v>1.5</v>
      </c>
      <c r="C35" s="3">
        <v>1.5</v>
      </c>
      <c r="D35" s="3"/>
      <c r="E35" s="3"/>
      <c r="F35" s="3"/>
      <c r="G35" s="3">
        <v>0</v>
      </c>
    </row>
    <row r="36" spans="1:7" x14ac:dyDescent="0.3">
      <c r="A36" s="87" t="s">
        <v>33</v>
      </c>
      <c r="B36" s="3">
        <v>10</v>
      </c>
      <c r="C36" s="3">
        <f>100%*B36</f>
        <v>10</v>
      </c>
      <c r="D36" s="3">
        <f>0.5%*C36</f>
        <v>0.05</v>
      </c>
      <c r="E36" s="3">
        <f>82.5%*C36</f>
        <v>8.25</v>
      </c>
      <c r="F36" s="3">
        <f>0.8%*C36</f>
        <v>0.08</v>
      </c>
      <c r="G36" s="3">
        <f>4*(D36+F36)+9*E36</f>
        <v>74.77</v>
      </c>
    </row>
    <row r="37" spans="1:7" x14ac:dyDescent="0.3">
      <c r="A37" s="17" t="s">
        <v>13</v>
      </c>
      <c r="B37" s="134">
        <v>150</v>
      </c>
      <c r="C37" s="135"/>
      <c r="D37" s="22">
        <f>SUM(D31:D36)</f>
        <v>38.905999999999999</v>
      </c>
      <c r="E37" s="22">
        <f>SUM(E31:E36)</f>
        <v>52.304400000000001</v>
      </c>
      <c r="F37" s="22">
        <f>SUM(F31:F36)</f>
        <v>2.36</v>
      </c>
      <c r="G37" s="22">
        <f>SUM(G31:G36)</f>
        <v>635.80359999999996</v>
      </c>
    </row>
    <row r="39" spans="1:7" ht="1.5" hidden="1" customHeight="1" x14ac:dyDescent="0.3"/>
    <row r="40" spans="1:7" hidden="1" x14ac:dyDescent="0.3"/>
    <row r="41" spans="1:7" hidden="1" x14ac:dyDescent="0.3"/>
    <row r="42" spans="1:7" x14ac:dyDescent="0.3">
      <c r="A42" s="144" t="s">
        <v>34</v>
      </c>
      <c r="B42" s="144"/>
      <c r="C42" s="144"/>
      <c r="D42" s="144"/>
      <c r="E42" s="144"/>
      <c r="F42" s="144"/>
      <c r="G42" s="144"/>
    </row>
    <row r="43" spans="1:7" ht="30" x14ac:dyDescent="0.3">
      <c r="A43" s="126" t="s">
        <v>0</v>
      </c>
      <c r="B43" s="126" t="s">
        <v>1</v>
      </c>
      <c r="C43" s="126"/>
      <c r="D43" s="138" t="s">
        <v>2</v>
      </c>
      <c r="E43" s="138" t="s">
        <v>3</v>
      </c>
      <c r="F43" s="126" t="s">
        <v>30</v>
      </c>
      <c r="G43" s="17" t="s">
        <v>5</v>
      </c>
    </row>
    <row r="44" spans="1:7" x14ac:dyDescent="0.3">
      <c r="A44" s="126"/>
      <c r="B44" s="17" t="s">
        <v>6</v>
      </c>
      <c r="C44" s="17" t="s">
        <v>7</v>
      </c>
      <c r="D44" s="131"/>
      <c r="E44" s="131"/>
      <c r="F44" s="126"/>
      <c r="G44" s="17" t="s">
        <v>8</v>
      </c>
    </row>
    <row r="45" spans="1:7" x14ac:dyDescent="0.3">
      <c r="A45" s="87" t="s">
        <v>35</v>
      </c>
      <c r="B45" s="3">
        <v>250</v>
      </c>
      <c r="C45" s="3">
        <f>72%*B45</f>
        <v>180</v>
      </c>
      <c r="D45" s="3">
        <f>2.1%*C45</f>
        <v>3.7800000000000002</v>
      </c>
      <c r="E45" s="3">
        <f>0.4%*C45</f>
        <v>0.72</v>
      </c>
      <c r="F45" s="3">
        <f>15.6%*C45</f>
        <v>28.08</v>
      </c>
      <c r="G45" s="3">
        <f>4*(D45+F45)+9*E45</f>
        <v>133.91999999999999</v>
      </c>
    </row>
    <row r="46" spans="1:7" x14ac:dyDescent="0.3">
      <c r="A46" s="87" t="s">
        <v>33</v>
      </c>
      <c r="B46" s="3">
        <v>5</v>
      </c>
      <c r="C46" s="3">
        <f>100%*B46</f>
        <v>5</v>
      </c>
      <c r="D46" s="3">
        <f>0.5%*C46</f>
        <v>2.5000000000000001E-2</v>
      </c>
      <c r="E46" s="3">
        <f>82.5%*C46</f>
        <v>4.125</v>
      </c>
      <c r="F46" s="3">
        <f>0.8%*C46</f>
        <v>0.04</v>
      </c>
      <c r="G46" s="3">
        <f>4*(D46+F46)+9*E46</f>
        <v>37.384999999999998</v>
      </c>
    </row>
    <row r="47" spans="1:7" x14ac:dyDescent="0.3">
      <c r="A47" s="87" t="s">
        <v>12</v>
      </c>
      <c r="B47" s="3">
        <v>120</v>
      </c>
      <c r="C47" s="3">
        <v>120</v>
      </c>
      <c r="D47" s="3"/>
      <c r="E47" s="3"/>
      <c r="F47" s="3"/>
      <c r="G47" s="3"/>
    </row>
    <row r="48" spans="1:7" x14ac:dyDescent="0.3">
      <c r="A48" s="83" t="s">
        <v>11</v>
      </c>
      <c r="B48" s="3">
        <v>2</v>
      </c>
      <c r="C48" s="3">
        <f>100%*B48</f>
        <v>2</v>
      </c>
      <c r="D48" s="3"/>
      <c r="E48" s="3"/>
      <c r="F48" s="3"/>
      <c r="G48" s="3">
        <f>4*(D48+F48)+9*E48</f>
        <v>0</v>
      </c>
    </row>
    <row r="49" spans="1:7" x14ac:dyDescent="0.3">
      <c r="A49" s="17" t="s">
        <v>13</v>
      </c>
      <c r="B49" s="134">
        <v>150</v>
      </c>
      <c r="C49" s="135"/>
      <c r="D49" s="22">
        <f>SUM(D45:D48)</f>
        <v>3.8050000000000002</v>
      </c>
      <c r="E49" s="22">
        <f>SUM(E45:E48)</f>
        <v>4.8449999999999998</v>
      </c>
      <c r="F49" s="22">
        <f>SUM(F45:F48)</f>
        <v>28.119999999999997</v>
      </c>
      <c r="G49" s="22">
        <f>SUM(G45:G48)</f>
        <v>171.30499999999998</v>
      </c>
    </row>
    <row r="50" spans="1:7" s="32" customFormat="1" x14ac:dyDescent="0.3">
      <c r="A50" s="88" t="s">
        <v>14</v>
      </c>
      <c r="B50" s="22">
        <v>250</v>
      </c>
      <c r="C50" s="22">
        <f>B50*100%</f>
        <v>250</v>
      </c>
      <c r="D50" s="22">
        <f>C50*7.9%</f>
        <v>19.75</v>
      </c>
      <c r="E50" s="22">
        <f>C50*1%</f>
        <v>2.5</v>
      </c>
      <c r="F50" s="22">
        <f>C50*49.6%</f>
        <v>124</v>
      </c>
      <c r="G50" s="22">
        <f>4*(D50+F50)+9*E50</f>
        <v>597.5</v>
      </c>
    </row>
    <row r="52" spans="1:7" x14ac:dyDescent="0.3">
      <c r="A52" s="144" t="s">
        <v>82</v>
      </c>
      <c r="B52" s="144"/>
      <c r="C52" s="144"/>
      <c r="D52" s="144"/>
      <c r="E52" s="144"/>
      <c r="F52" s="144"/>
      <c r="G52" s="144"/>
    </row>
    <row r="53" spans="1:7" ht="72" customHeight="1" x14ac:dyDescent="0.3">
      <c r="A53" s="126" t="s">
        <v>0</v>
      </c>
      <c r="B53" s="126" t="s">
        <v>1</v>
      </c>
      <c r="C53" s="126"/>
      <c r="D53" s="138" t="s">
        <v>2</v>
      </c>
      <c r="E53" s="138" t="s">
        <v>3</v>
      </c>
      <c r="F53" s="126" t="s">
        <v>30</v>
      </c>
      <c r="G53" s="17" t="s">
        <v>5</v>
      </c>
    </row>
    <row r="54" spans="1:7" x14ac:dyDescent="0.3">
      <c r="A54" s="126"/>
      <c r="B54" s="17" t="s">
        <v>6</v>
      </c>
      <c r="C54" s="17" t="s">
        <v>7</v>
      </c>
      <c r="D54" s="131"/>
      <c r="E54" s="131"/>
      <c r="F54" s="126"/>
      <c r="G54" s="17" t="s">
        <v>8</v>
      </c>
    </row>
    <row r="55" spans="1:7" x14ac:dyDescent="0.3">
      <c r="A55" s="83" t="s">
        <v>23</v>
      </c>
      <c r="B55" s="3">
        <v>150</v>
      </c>
      <c r="C55" s="3">
        <f>72%*B55</f>
        <v>108</v>
      </c>
      <c r="D55" s="3">
        <f>2.1%*C55</f>
        <v>2.2680000000000002</v>
      </c>
      <c r="E55" s="3">
        <f>0.4%*C55</f>
        <v>0.432</v>
      </c>
      <c r="F55" s="3">
        <f>15.6%*C55</f>
        <v>16.847999999999999</v>
      </c>
      <c r="G55" s="3">
        <f t="shared" ref="G55:G61" si="2">4*(D55+F55)+9*E55</f>
        <v>80.352000000000004</v>
      </c>
    </row>
    <row r="56" spans="1:7" x14ac:dyDescent="0.3">
      <c r="A56" s="83" t="s">
        <v>64</v>
      </c>
      <c r="B56" s="3">
        <v>0.25</v>
      </c>
      <c r="C56" s="3">
        <f>B56*48</f>
        <v>12</v>
      </c>
      <c r="D56" s="3">
        <f>12.7%*C56</f>
        <v>1.524</v>
      </c>
      <c r="E56" s="3">
        <f>11.5%*C56</f>
        <v>1.3800000000000001</v>
      </c>
      <c r="F56" s="3"/>
      <c r="G56" s="3">
        <f t="shared" si="2"/>
        <v>18.516000000000002</v>
      </c>
    </row>
    <row r="57" spans="1:7" x14ac:dyDescent="0.3">
      <c r="A57" s="83" t="s">
        <v>17</v>
      </c>
      <c r="B57" s="3">
        <v>50</v>
      </c>
      <c r="C57" s="3">
        <f>100%*B57</f>
        <v>50</v>
      </c>
      <c r="D57" s="3">
        <f>2.6%*C57</f>
        <v>1.3</v>
      </c>
      <c r="E57" s="3">
        <f>10%*C57</f>
        <v>5</v>
      </c>
      <c r="F57" s="3">
        <f>3.8%*C57</f>
        <v>1.9</v>
      </c>
      <c r="G57" s="3">
        <f t="shared" si="2"/>
        <v>57.8</v>
      </c>
    </row>
    <row r="58" spans="1:7" x14ac:dyDescent="0.3">
      <c r="A58" s="83" t="s">
        <v>21</v>
      </c>
      <c r="B58" s="3">
        <v>10</v>
      </c>
      <c r="C58" s="3">
        <f>90%*B58</f>
        <v>9</v>
      </c>
      <c r="D58" s="3">
        <f>1.58%*C58</f>
        <v>0.14220000000000002</v>
      </c>
      <c r="E58" s="3"/>
      <c r="F58" s="3">
        <f>9.5%*C58</f>
        <v>0.85499999999999998</v>
      </c>
      <c r="G58" s="3">
        <f t="shared" si="2"/>
        <v>3.9887999999999999</v>
      </c>
    </row>
    <row r="59" spans="1:7" x14ac:dyDescent="0.3">
      <c r="A59" s="83" t="s">
        <v>11</v>
      </c>
      <c r="B59" s="3">
        <v>1.5</v>
      </c>
      <c r="C59" s="3">
        <f>100%*B59</f>
        <v>1.5</v>
      </c>
      <c r="D59" s="3"/>
      <c r="E59" s="3"/>
      <c r="F59" s="3"/>
      <c r="G59" s="3">
        <f t="shared" si="2"/>
        <v>0</v>
      </c>
    </row>
    <row r="60" spans="1:7" x14ac:dyDescent="0.3">
      <c r="A60" s="83" t="s">
        <v>19</v>
      </c>
      <c r="B60" s="3">
        <v>60</v>
      </c>
      <c r="C60" s="3">
        <f>80%*B60</f>
        <v>48</v>
      </c>
      <c r="D60" s="3">
        <f>1.77%*C60</f>
        <v>0.84960000000000002</v>
      </c>
      <c r="E60" s="3"/>
      <c r="F60" s="3">
        <f>11%*C60</f>
        <v>5.28</v>
      </c>
      <c r="G60" s="3">
        <f t="shared" si="2"/>
        <v>24.5184</v>
      </c>
    </row>
    <row r="61" spans="1:7" x14ac:dyDescent="0.3">
      <c r="A61" s="83" t="s">
        <v>20</v>
      </c>
      <c r="B61" s="3">
        <v>5</v>
      </c>
      <c r="C61" s="3">
        <f>85%*B61</f>
        <v>4.25</v>
      </c>
      <c r="D61" s="3"/>
      <c r="E61" s="3"/>
      <c r="F61" s="3"/>
      <c r="G61" s="3">
        <f t="shared" si="2"/>
        <v>0</v>
      </c>
    </row>
    <row r="62" spans="1:7" x14ac:dyDescent="0.3">
      <c r="A62" s="17" t="s">
        <v>13</v>
      </c>
      <c r="B62" s="134">
        <v>169</v>
      </c>
      <c r="C62" s="135"/>
      <c r="D62" s="22">
        <f>SUM(D55:D61)</f>
        <v>6.0838000000000001</v>
      </c>
      <c r="E62" s="22">
        <f>SUM(E55:E61)</f>
        <v>6.8120000000000003</v>
      </c>
      <c r="F62" s="22">
        <f>SUM(F55:F61)</f>
        <v>24.882999999999999</v>
      </c>
      <c r="G62" s="22">
        <f>SUM(G55:G61)</f>
        <v>185.17520000000002</v>
      </c>
    </row>
    <row r="63" spans="1:7" x14ac:dyDescent="0.3">
      <c r="A63" s="45"/>
      <c r="B63" s="45"/>
      <c r="C63" s="45"/>
      <c r="D63" s="45"/>
      <c r="E63" s="45"/>
      <c r="F63" s="45"/>
      <c r="G63" s="45"/>
    </row>
    <row r="64" spans="1:7" ht="16.5" customHeight="1" x14ac:dyDescent="0.3">
      <c r="A64" s="144" t="s">
        <v>66</v>
      </c>
      <c r="B64" s="144"/>
      <c r="C64" s="144"/>
      <c r="D64" s="144"/>
      <c r="E64" s="144"/>
      <c r="F64" s="144"/>
      <c r="G64" s="144"/>
    </row>
    <row r="65" spans="1:7" ht="26.25" customHeight="1" x14ac:dyDescent="0.3">
      <c r="A65" s="126" t="s">
        <v>0</v>
      </c>
      <c r="B65" s="126" t="s">
        <v>1</v>
      </c>
      <c r="C65" s="126"/>
      <c r="D65" s="138" t="s">
        <v>2</v>
      </c>
      <c r="E65" s="138" t="s">
        <v>3</v>
      </c>
      <c r="F65" s="126" t="s">
        <v>4</v>
      </c>
      <c r="G65" s="17" t="s">
        <v>5</v>
      </c>
    </row>
    <row r="66" spans="1:7" x14ac:dyDescent="0.3">
      <c r="A66" s="126"/>
      <c r="B66" s="17" t="s">
        <v>6</v>
      </c>
      <c r="C66" s="17" t="s">
        <v>7</v>
      </c>
      <c r="D66" s="131"/>
      <c r="E66" s="131"/>
      <c r="F66" s="126"/>
      <c r="G66" s="17" t="s">
        <v>8</v>
      </c>
    </row>
    <row r="67" spans="1:7" x14ac:dyDescent="0.3">
      <c r="A67" s="83" t="s">
        <v>67</v>
      </c>
      <c r="B67" s="3">
        <v>25</v>
      </c>
      <c r="C67" s="3">
        <f>100%*B67</f>
        <v>25</v>
      </c>
      <c r="D67" s="3">
        <f>1.6%*C67</f>
        <v>0.4</v>
      </c>
      <c r="E67" s="3"/>
      <c r="F67" s="3">
        <f>40%*C67</f>
        <v>10</v>
      </c>
      <c r="G67" s="3">
        <f>4*(D67+F67)+9*E67</f>
        <v>41.6</v>
      </c>
    </row>
    <row r="68" spans="1:7" x14ac:dyDescent="0.3">
      <c r="A68" s="83" t="s">
        <v>10</v>
      </c>
      <c r="B68" s="3">
        <v>10</v>
      </c>
      <c r="C68" s="3">
        <f>100%*B68</f>
        <v>10</v>
      </c>
      <c r="D68" s="3"/>
      <c r="E68" s="3"/>
      <c r="F68" s="3">
        <f>99%*C68</f>
        <v>9.9</v>
      </c>
      <c r="G68" s="3">
        <f>4*(D68+F68)+9*E68</f>
        <v>39.6</v>
      </c>
    </row>
    <row r="69" spans="1:7" x14ac:dyDescent="0.3">
      <c r="A69" s="88" t="s">
        <v>13</v>
      </c>
      <c r="B69" s="136">
        <v>200</v>
      </c>
      <c r="C69" s="137"/>
      <c r="D69" s="22">
        <f>SUM(D67:D68)</f>
        <v>0.4</v>
      </c>
      <c r="E69" s="22">
        <f>SUM(E67:E68)</f>
        <v>0</v>
      </c>
      <c r="F69" s="22">
        <f>SUM(F67:F68)</f>
        <v>19.899999999999999</v>
      </c>
      <c r="G69" s="22">
        <f>SUM(G67:G68)</f>
        <v>81.2</v>
      </c>
    </row>
    <row r="70" spans="1:7" x14ac:dyDescent="0.3">
      <c r="A70" s="84"/>
      <c r="B70" s="47"/>
      <c r="C70" s="47"/>
      <c r="D70" s="47"/>
      <c r="E70" s="47"/>
      <c r="F70" s="47"/>
      <c r="G70" s="47"/>
    </row>
    <row r="71" spans="1:7" x14ac:dyDescent="0.3">
      <c r="A71" s="85" t="s">
        <v>124</v>
      </c>
      <c r="B71" s="125">
        <f>B62+C50+B49+B37+B69</f>
        <v>919</v>
      </c>
      <c r="C71" s="125"/>
      <c r="D71" s="26">
        <f>D62+D50+D49+D37+D69</f>
        <v>68.944800000000001</v>
      </c>
      <c r="E71" s="26">
        <f t="shared" ref="E71:G71" si="3">E62+E50+E49+E37+E69</f>
        <v>66.461399999999998</v>
      </c>
      <c r="F71" s="26">
        <f t="shared" si="3"/>
        <v>199.26300000000003</v>
      </c>
      <c r="G71" s="26">
        <f t="shared" si="3"/>
        <v>1670.9838</v>
      </c>
    </row>
    <row r="72" spans="1:7" x14ac:dyDescent="0.3">
      <c r="A72" s="45"/>
      <c r="B72" s="45"/>
      <c r="C72" s="45"/>
      <c r="D72" s="47"/>
      <c r="E72" s="47"/>
      <c r="F72" s="47"/>
      <c r="G72" s="47"/>
    </row>
    <row r="73" spans="1:7" x14ac:dyDescent="0.3">
      <c r="A73" s="89" t="s">
        <v>134</v>
      </c>
      <c r="B73" s="45"/>
      <c r="C73" s="45"/>
      <c r="D73" s="47"/>
      <c r="E73" s="47"/>
      <c r="F73" s="47"/>
      <c r="G73" s="47"/>
    </row>
    <row r="75" spans="1:7" x14ac:dyDescent="0.3">
      <c r="A75" s="144" t="s">
        <v>83</v>
      </c>
      <c r="B75" s="144"/>
      <c r="C75" s="144"/>
      <c r="D75" s="144"/>
      <c r="E75" s="144"/>
      <c r="F75" s="144"/>
      <c r="G75" s="144"/>
    </row>
    <row r="76" spans="1:7" ht="30" x14ac:dyDescent="0.3">
      <c r="A76" s="126" t="s">
        <v>0</v>
      </c>
      <c r="B76" s="126" t="s">
        <v>1</v>
      </c>
      <c r="C76" s="126"/>
      <c r="D76" s="138" t="s">
        <v>2</v>
      </c>
      <c r="E76" s="138" t="s">
        <v>3</v>
      </c>
      <c r="F76" s="126" t="s">
        <v>30</v>
      </c>
      <c r="G76" s="17" t="s">
        <v>5</v>
      </c>
    </row>
    <row r="77" spans="1:7" x14ac:dyDescent="0.3">
      <c r="A77" s="126"/>
      <c r="B77" s="17" t="s">
        <v>6</v>
      </c>
      <c r="C77" s="17" t="s">
        <v>7</v>
      </c>
      <c r="D77" s="131"/>
      <c r="E77" s="131"/>
      <c r="F77" s="126"/>
      <c r="G77" s="17" t="s">
        <v>8</v>
      </c>
    </row>
    <row r="78" spans="1:7" x14ac:dyDescent="0.3">
      <c r="A78" s="87" t="s">
        <v>36</v>
      </c>
      <c r="B78" s="3">
        <v>200</v>
      </c>
      <c r="C78" s="3">
        <f>92%*B78</f>
        <v>184</v>
      </c>
      <c r="D78" s="3">
        <f>15.48%*C78</f>
        <v>28.4832</v>
      </c>
      <c r="E78" s="3">
        <f>8.69%*C78</f>
        <v>15.989599999999998</v>
      </c>
      <c r="F78" s="3"/>
      <c r="G78" s="3">
        <f>4*(D78+F78)+9*E78</f>
        <v>257.83920000000001</v>
      </c>
    </row>
    <row r="79" spans="1:7" x14ac:dyDescent="0.3">
      <c r="A79" s="83" t="s">
        <v>37</v>
      </c>
      <c r="B79" s="3">
        <v>10</v>
      </c>
      <c r="C79" s="3">
        <f>B79*100%</f>
        <v>10</v>
      </c>
      <c r="D79" s="3">
        <f>C79*10%</f>
        <v>1</v>
      </c>
      <c r="E79" s="3">
        <f>C79*1.3%</f>
        <v>0.13</v>
      </c>
      <c r="F79" s="3">
        <f>C79*69%</f>
        <v>6.8999999999999995</v>
      </c>
      <c r="G79" s="3">
        <f>4*(D79+F79)+9*E79</f>
        <v>32.769999999999996</v>
      </c>
    </row>
    <row r="80" spans="1:7" x14ac:dyDescent="0.3">
      <c r="A80" s="83" t="s">
        <v>11</v>
      </c>
      <c r="B80" s="3">
        <v>1</v>
      </c>
      <c r="C80" s="3">
        <f>100%*B80</f>
        <v>1</v>
      </c>
      <c r="D80" s="3"/>
      <c r="E80" s="3"/>
      <c r="F80" s="3"/>
      <c r="G80" s="3">
        <f>4*(D80+F80)+9*E80</f>
        <v>0</v>
      </c>
    </row>
    <row r="81" spans="1:7" x14ac:dyDescent="0.3">
      <c r="A81" s="83" t="s">
        <v>24</v>
      </c>
      <c r="B81" s="3">
        <v>5</v>
      </c>
      <c r="C81" s="3">
        <f>100%*B81</f>
        <v>5</v>
      </c>
      <c r="D81" s="3"/>
      <c r="E81" s="3">
        <f>99.9%*C81</f>
        <v>4.995000000000001</v>
      </c>
      <c r="F81" s="3"/>
      <c r="G81" s="3">
        <f>4*(D81+F81)+9*E81</f>
        <v>44.955000000000013</v>
      </c>
    </row>
    <row r="82" spans="1:7" x14ac:dyDescent="0.3">
      <c r="A82" s="17" t="s">
        <v>13</v>
      </c>
      <c r="B82" s="142">
        <v>135</v>
      </c>
      <c r="C82" s="143"/>
      <c r="D82" s="22">
        <f>SUM(D78:D81)</f>
        <v>29.4832</v>
      </c>
      <c r="E82" s="22">
        <f>SUM(E78:E81)</f>
        <v>21.114599999999999</v>
      </c>
      <c r="F82" s="22">
        <f>SUM(F78:F81)</f>
        <v>6.8999999999999995</v>
      </c>
      <c r="G82" s="22">
        <f>SUM(G78:G81)</f>
        <v>335.56420000000003</v>
      </c>
    </row>
    <row r="83" spans="1:7" x14ac:dyDescent="0.3">
      <c r="A83" s="88" t="s">
        <v>14</v>
      </c>
      <c r="B83" s="22">
        <v>250</v>
      </c>
      <c r="C83" s="22">
        <f>B83*100%</f>
        <v>250</v>
      </c>
      <c r="D83" s="22">
        <f>C83*7.9%</f>
        <v>19.75</v>
      </c>
      <c r="E83" s="22">
        <f>C83*1%</f>
        <v>2.5</v>
      </c>
      <c r="F83" s="22">
        <f>C83*49.6%</f>
        <v>124</v>
      </c>
      <c r="G83" s="22">
        <f>4*(D83+F83)+9*E83</f>
        <v>597.5</v>
      </c>
    </row>
    <row r="84" spans="1:7" x14ac:dyDescent="0.3">
      <c r="A84" s="1"/>
      <c r="B84" s="1"/>
      <c r="C84" s="1"/>
      <c r="D84" s="1"/>
      <c r="E84" s="1"/>
      <c r="F84" s="1"/>
      <c r="G84" s="1"/>
    </row>
    <row r="85" spans="1:7" ht="30" x14ac:dyDescent="0.3">
      <c r="A85" s="23" t="s">
        <v>70</v>
      </c>
      <c r="B85" s="23"/>
      <c r="C85" s="23"/>
      <c r="D85" s="23"/>
      <c r="E85" s="23"/>
      <c r="F85" s="23"/>
      <c r="G85" s="23"/>
    </row>
    <row r="86" spans="1:7" ht="30" x14ac:dyDescent="0.3">
      <c r="A86" s="126" t="s">
        <v>0</v>
      </c>
      <c r="B86" s="126" t="s">
        <v>1</v>
      </c>
      <c r="C86" s="126"/>
      <c r="D86" s="138" t="s">
        <v>2</v>
      </c>
      <c r="E86" s="138" t="s">
        <v>3</v>
      </c>
      <c r="F86" s="126" t="s">
        <v>30</v>
      </c>
      <c r="G86" s="17" t="s">
        <v>5</v>
      </c>
    </row>
    <row r="87" spans="1:7" x14ac:dyDescent="0.3">
      <c r="A87" s="126"/>
      <c r="B87" s="17" t="s">
        <v>6</v>
      </c>
      <c r="C87" s="17" t="s">
        <v>7</v>
      </c>
      <c r="D87" s="131"/>
      <c r="E87" s="131"/>
      <c r="F87" s="126"/>
      <c r="G87" s="17" t="s">
        <v>8</v>
      </c>
    </row>
    <row r="88" spans="1:7" x14ac:dyDescent="0.3">
      <c r="A88" s="83" t="s">
        <v>71</v>
      </c>
      <c r="B88" s="3">
        <v>50</v>
      </c>
      <c r="C88" s="3">
        <f>B88*100%</f>
        <v>50</v>
      </c>
      <c r="D88" s="3">
        <f>9.15%*C88</f>
        <v>4.5750000000000002</v>
      </c>
      <c r="E88" s="3">
        <f>0.8%*C88</f>
        <v>0.4</v>
      </c>
      <c r="F88" s="3">
        <f>60%*C88</f>
        <v>30</v>
      </c>
      <c r="G88" s="3">
        <f>4*(D88+F88)+9*E88</f>
        <v>141.9</v>
      </c>
    </row>
    <row r="89" spans="1:7" x14ac:dyDescent="0.3">
      <c r="A89" s="83" t="s">
        <v>24</v>
      </c>
      <c r="B89" s="3">
        <v>5</v>
      </c>
      <c r="C89" s="3">
        <f>100%*B89</f>
        <v>5</v>
      </c>
      <c r="D89" s="3"/>
      <c r="E89" s="3">
        <f>99.9%*C89</f>
        <v>4.995000000000001</v>
      </c>
      <c r="F89" s="3"/>
      <c r="G89" s="3">
        <f>4*(D89+F89)+9*E89</f>
        <v>44.955000000000013</v>
      </c>
    </row>
    <row r="90" spans="1:7" x14ac:dyDescent="0.3">
      <c r="A90" s="83" t="s">
        <v>11</v>
      </c>
      <c r="B90" s="3">
        <v>1</v>
      </c>
      <c r="C90" s="3">
        <f>100%*B90</f>
        <v>1</v>
      </c>
      <c r="D90" s="3"/>
      <c r="E90" s="3"/>
      <c r="F90" s="3"/>
      <c r="G90" s="3">
        <f>4*(D90+F90)+9*E90</f>
        <v>0</v>
      </c>
    </row>
    <row r="91" spans="1:7" x14ac:dyDescent="0.3">
      <c r="A91" s="17" t="s">
        <v>13</v>
      </c>
      <c r="B91" s="142">
        <v>200</v>
      </c>
      <c r="C91" s="143"/>
      <c r="D91" s="22">
        <f>SUM(D88:D90)</f>
        <v>4.5750000000000002</v>
      </c>
      <c r="E91" s="22">
        <f>SUM(E88:E90)</f>
        <v>5.3950000000000014</v>
      </c>
      <c r="F91" s="22">
        <f>SUM(F88:F90)</f>
        <v>30</v>
      </c>
      <c r="G91" s="22">
        <f>SUM(G88:G90)</f>
        <v>186.85500000000002</v>
      </c>
    </row>
    <row r="93" spans="1:7" x14ac:dyDescent="0.3">
      <c r="A93" s="85" t="s">
        <v>136</v>
      </c>
      <c r="B93" s="125">
        <f>B91+C83+B82</f>
        <v>585</v>
      </c>
      <c r="C93" s="125"/>
      <c r="D93" s="26">
        <f>D91+D83+D82</f>
        <v>53.808199999999999</v>
      </c>
      <c r="E93" s="26">
        <f t="shared" ref="E93:G93" si="4">E91+E83+E82</f>
        <v>29.009599999999999</v>
      </c>
      <c r="F93" s="26">
        <f t="shared" si="4"/>
        <v>160.9</v>
      </c>
      <c r="G93" s="26">
        <f t="shared" si="4"/>
        <v>1119.9192</v>
      </c>
    </row>
    <row r="96" spans="1:7" x14ac:dyDescent="0.3">
      <c r="A96" s="85" t="s">
        <v>111</v>
      </c>
      <c r="B96" s="141">
        <f>B93+B71+B24</f>
        <v>1864</v>
      </c>
      <c r="C96" s="141"/>
      <c r="D96" s="49">
        <f>D93+D71+D24</f>
        <v>142.5874</v>
      </c>
      <c r="E96" s="49">
        <f t="shared" ref="E96:G96" si="5">E93+E71+E24</f>
        <v>109.75630000000001</v>
      </c>
      <c r="F96" s="49">
        <f t="shared" si="5"/>
        <v>404.13300000000004</v>
      </c>
      <c r="G96" s="49">
        <f t="shared" si="5"/>
        <v>3164.8383000000003</v>
      </c>
    </row>
  </sheetData>
  <mergeCells count="59">
    <mergeCell ref="E76:E77"/>
    <mergeCell ref="B24:C24"/>
    <mergeCell ref="A28:G28"/>
    <mergeCell ref="A29:A30"/>
    <mergeCell ref="B29:C29"/>
    <mergeCell ref="D29:D30"/>
    <mergeCell ref="E29:E30"/>
    <mergeCell ref="F29:F30"/>
    <mergeCell ref="B49:C49"/>
    <mergeCell ref="B71:C71"/>
    <mergeCell ref="A52:G52"/>
    <mergeCell ref="B62:C62"/>
    <mergeCell ref="B53:C53"/>
    <mergeCell ref="E53:E54"/>
    <mergeCell ref="A64:G64"/>
    <mergeCell ref="A65:A66"/>
    <mergeCell ref="A86:A87"/>
    <mergeCell ref="D86:D87"/>
    <mergeCell ref="B37:C37"/>
    <mergeCell ref="A42:G42"/>
    <mergeCell ref="A43:A44"/>
    <mergeCell ref="A75:G75"/>
    <mergeCell ref="F76:F77"/>
    <mergeCell ref="A76:A77"/>
    <mergeCell ref="B76:C76"/>
    <mergeCell ref="D76:D77"/>
    <mergeCell ref="B43:C43"/>
    <mergeCell ref="D43:D44"/>
    <mergeCell ref="E43:E44"/>
    <mergeCell ref="F43:F44"/>
    <mergeCell ref="E86:E87"/>
    <mergeCell ref="F86:F87"/>
    <mergeCell ref="D65:D66"/>
    <mergeCell ref="E65:E66"/>
    <mergeCell ref="F65:F66"/>
    <mergeCell ref="F53:F54"/>
    <mergeCell ref="A53:A54"/>
    <mergeCell ref="D53:D54"/>
    <mergeCell ref="B93:C93"/>
    <mergeCell ref="B96:C96"/>
    <mergeCell ref="B86:C86"/>
    <mergeCell ref="B69:C69"/>
    <mergeCell ref="B65:C65"/>
    <mergeCell ref="B91:C91"/>
    <mergeCell ref="B82:C82"/>
    <mergeCell ref="E17:E18"/>
    <mergeCell ref="F17:F18"/>
    <mergeCell ref="B21:C21"/>
    <mergeCell ref="A1:G1"/>
    <mergeCell ref="A2:G3"/>
    <mergeCell ref="A17:A18"/>
    <mergeCell ref="B17:C17"/>
    <mergeCell ref="D17:D18"/>
    <mergeCell ref="B15:C15"/>
    <mergeCell ref="A7:A8"/>
    <mergeCell ref="B7:C7"/>
    <mergeCell ref="D7:D8"/>
    <mergeCell ref="E7:E8"/>
    <mergeCell ref="F7:F8"/>
  </mergeCells>
  <pageMargins left="0.7" right="0.7" top="0.75" bottom="0.7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"/>
  <sheetViews>
    <sheetView view="pageBreakPreview" zoomScale="118" zoomScaleNormal="100" zoomScaleSheetLayoutView="118" workbookViewId="0">
      <selection activeCell="A2" sqref="A2:G3"/>
    </sheetView>
  </sheetViews>
  <sheetFormatPr defaultRowHeight="15" x14ac:dyDescent="0.3"/>
  <cols>
    <col min="1" max="1" width="23.5703125" style="2" customWidth="1"/>
    <col min="2" max="6" width="15.7109375" style="1" customWidth="1"/>
    <col min="7" max="7" width="23.140625" style="1" customWidth="1"/>
    <col min="8" max="256" width="9.140625" style="1"/>
    <col min="257" max="257" width="34.85546875" style="1" bestFit="1" customWidth="1"/>
    <col min="258" max="258" width="12" style="1" customWidth="1"/>
    <col min="259" max="259" width="12.5703125" style="1" customWidth="1"/>
    <col min="260" max="260" width="12.28515625" style="1" customWidth="1"/>
    <col min="261" max="261" width="11.28515625" style="1" customWidth="1"/>
    <col min="262" max="262" width="16.140625" style="1" customWidth="1"/>
    <col min="263" max="263" width="20.42578125" style="1" customWidth="1"/>
    <col min="264" max="512" width="9.140625" style="1"/>
    <col min="513" max="513" width="34.85546875" style="1" bestFit="1" customWidth="1"/>
    <col min="514" max="514" width="12" style="1" customWidth="1"/>
    <col min="515" max="515" width="12.5703125" style="1" customWidth="1"/>
    <col min="516" max="516" width="12.28515625" style="1" customWidth="1"/>
    <col min="517" max="517" width="11.28515625" style="1" customWidth="1"/>
    <col min="518" max="518" width="16.140625" style="1" customWidth="1"/>
    <col min="519" max="519" width="20.42578125" style="1" customWidth="1"/>
    <col min="520" max="768" width="9.140625" style="1"/>
    <col min="769" max="769" width="34.85546875" style="1" bestFit="1" customWidth="1"/>
    <col min="770" max="770" width="12" style="1" customWidth="1"/>
    <col min="771" max="771" width="12.5703125" style="1" customWidth="1"/>
    <col min="772" max="772" width="12.28515625" style="1" customWidth="1"/>
    <col min="773" max="773" width="11.28515625" style="1" customWidth="1"/>
    <col min="774" max="774" width="16.140625" style="1" customWidth="1"/>
    <col min="775" max="775" width="20.42578125" style="1" customWidth="1"/>
    <col min="776" max="1024" width="9.140625" style="1"/>
    <col min="1025" max="1025" width="34.85546875" style="1" bestFit="1" customWidth="1"/>
    <col min="1026" max="1026" width="12" style="1" customWidth="1"/>
    <col min="1027" max="1027" width="12.5703125" style="1" customWidth="1"/>
    <col min="1028" max="1028" width="12.28515625" style="1" customWidth="1"/>
    <col min="1029" max="1029" width="11.28515625" style="1" customWidth="1"/>
    <col min="1030" max="1030" width="16.140625" style="1" customWidth="1"/>
    <col min="1031" max="1031" width="20.42578125" style="1" customWidth="1"/>
    <col min="1032" max="1280" width="9.140625" style="1"/>
    <col min="1281" max="1281" width="34.85546875" style="1" bestFit="1" customWidth="1"/>
    <col min="1282" max="1282" width="12" style="1" customWidth="1"/>
    <col min="1283" max="1283" width="12.5703125" style="1" customWidth="1"/>
    <col min="1284" max="1284" width="12.28515625" style="1" customWidth="1"/>
    <col min="1285" max="1285" width="11.28515625" style="1" customWidth="1"/>
    <col min="1286" max="1286" width="16.140625" style="1" customWidth="1"/>
    <col min="1287" max="1287" width="20.42578125" style="1" customWidth="1"/>
    <col min="1288" max="1536" width="9.140625" style="1"/>
    <col min="1537" max="1537" width="34.85546875" style="1" bestFit="1" customWidth="1"/>
    <col min="1538" max="1538" width="12" style="1" customWidth="1"/>
    <col min="1539" max="1539" width="12.5703125" style="1" customWidth="1"/>
    <col min="1540" max="1540" width="12.28515625" style="1" customWidth="1"/>
    <col min="1541" max="1541" width="11.28515625" style="1" customWidth="1"/>
    <col min="1542" max="1542" width="16.140625" style="1" customWidth="1"/>
    <col min="1543" max="1543" width="20.42578125" style="1" customWidth="1"/>
    <col min="1544" max="1792" width="9.140625" style="1"/>
    <col min="1793" max="1793" width="34.85546875" style="1" bestFit="1" customWidth="1"/>
    <col min="1794" max="1794" width="12" style="1" customWidth="1"/>
    <col min="1795" max="1795" width="12.5703125" style="1" customWidth="1"/>
    <col min="1796" max="1796" width="12.28515625" style="1" customWidth="1"/>
    <col min="1797" max="1797" width="11.28515625" style="1" customWidth="1"/>
    <col min="1798" max="1798" width="16.140625" style="1" customWidth="1"/>
    <col min="1799" max="1799" width="20.42578125" style="1" customWidth="1"/>
    <col min="1800" max="2048" width="9.140625" style="1"/>
    <col min="2049" max="2049" width="34.85546875" style="1" bestFit="1" customWidth="1"/>
    <col min="2050" max="2050" width="12" style="1" customWidth="1"/>
    <col min="2051" max="2051" width="12.5703125" style="1" customWidth="1"/>
    <col min="2052" max="2052" width="12.28515625" style="1" customWidth="1"/>
    <col min="2053" max="2053" width="11.28515625" style="1" customWidth="1"/>
    <col min="2054" max="2054" width="16.140625" style="1" customWidth="1"/>
    <col min="2055" max="2055" width="20.42578125" style="1" customWidth="1"/>
    <col min="2056" max="2304" width="9.140625" style="1"/>
    <col min="2305" max="2305" width="34.85546875" style="1" bestFit="1" customWidth="1"/>
    <col min="2306" max="2306" width="12" style="1" customWidth="1"/>
    <col min="2307" max="2307" width="12.5703125" style="1" customWidth="1"/>
    <col min="2308" max="2308" width="12.28515625" style="1" customWidth="1"/>
    <col min="2309" max="2309" width="11.28515625" style="1" customWidth="1"/>
    <col min="2310" max="2310" width="16.140625" style="1" customWidth="1"/>
    <col min="2311" max="2311" width="20.42578125" style="1" customWidth="1"/>
    <col min="2312" max="2560" width="9.140625" style="1"/>
    <col min="2561" max="2561" width="34.85546875" style="1" bestFit="1" customWidth="1"/>
    <col min="2562" max="2562" width="12" style="1" customWidth="1"/>
    <col min="2563" max="2563" width="12.5703125" style="1" customWidth="1"/>
    <col min="2564" max="2564" width="12.28515625" style="1" customWidth="1"/>
    <col min="2565" max="2565" width="11.28515625" style="1" customWidth="1"/>
    <col min="2566" max="2566" width="16.140625" style="1" customWidth="1"/>
    <col min="2567" max="2567" width="20.42578125" style="1" customWidth="1"/>
    <col min="2568" max="2816" width="9.140625" style="1"/>
    <col min="2817" max="2817" width="34.85546875" style="1" bestFit="1" customWidth="1"/>
    <col min="2818" max="2818" width="12" style="1" customWidth="1"/>
    <col min="2819" max="2819" width="12.5703125" style="1" customWidth="1"/>
    <col min="2820" max="2820" width="12.28515625" style="1" customWidth="1"/>
    <col min="2821" max="2821" width="11.28515625" style="1" customWidth="1"/>
    <col min="2822" max="2822" width="16.140625" style="1" customWidth="1"/>
    <col min="2823" max="2823" width="20.42578125" style="1" customWidth="1"/>
    <col min="2824" max="3072" width="9.140625" style="1"/>
    <col min="3073" max="3073" width="34.85546875" style="1" bestFit="1" customWidth="1"/>
    <col min="3074" max="3074" width="12" style="1" customWidth="1"/>
    <col min="3075" max="3075" width="12.5703125" style="1" customWidth="1"/>
    <col min="3076" max="3076" width="12.28515625" style="1" customWidth="1"/>
    <col min="3077" max="3077" width="11.28515625" style="1" customWidth="1"/>
    <col min="3078" max="3078" width="16.140625" style="1" customWidth="1"/>
    <col min="3079" max="3079" width="20.42578125" style="1" customWidth="1"/>
    <col min="3080" max="3328" width="9.140625" style="1"/>
    <col min="3329" max="3329" width="34.85546875" style="1" bestFit="1" customWidth="1"/>
    <col min="3330" max="3330" width="12" style="1" customWidth="1"/>
    <col min="3331" max="3331" width="12.5703125" style="1" customWidth="1"/>
    <col min="3332" max="3332" width="12.28515625" style="1" customWidth="1"/>
    <col min="3333" max="3333" width="11.28515625" style="1" customWidth="1"/>
    <col min="3334" max="3334" width="16.140625" style="1" customWidth="1"/>
    <col min="3335" max="3335" width="20.42578125" style="1" customWidth="1"/>
    <col min="3336" max="3584" width="9.140625" style="1"/>
    <col min="3585" max="3585" width="34.85546875" style="1" bestFit="1" customWidth="1"/>
    <col min="3586" max="3586" width="12" style="1" customWidth="1"/>
    <col min="3587" max="3587" width="12.5703125" style="1" customWidth="1"/>
    <col min="3588" max="3588" width="12.28515625" style="1" customWidth="1"/>
    <col min="3589" max="3589" width="11.28515625" style="1" customWidth="1"/>
    <col min="3590" max="3590" width="16.140625" style="1" customWidth="1"/>
    <col min="3591" max="3591" width="20.42578125" style="1" customWidth="1"/>
    <col min="3592" max="3840" width="9.140625" style="1"/>
    <col min="3841" max="3841" width="34.85546875" style="1" bestFit="1" customWidth="1"/>
    <col min="3842" max="3842" width="12" style="1" customWidth="1"/>
    <col min="3843" max="3843" width="12.5703125" style="1" customWidth="1"/>
    <col min="3844" max="3844" width="12.28515625" style="1" customWidth="1"/>
    <col min="3845" max="3845" width="11.28515625" style="1" customWidth="1"/>
    <col min="3846" max="3846" width="16.140625" style="1" customWidth="1"/>
    <col min="3847" max="3847" width="20.42578125" style="1" customWidth="1"/>
    <col min="3848" max="4096" width="9.140625" style="1"/>
    <col min="4097" max="4097" width="34.85546875" style="1" bestFit="1" customWidth="1"/>
    <col min="4098" max="4098" width="12" style="1" customWidth="1"/>
    <col min="4099" max="4099" width="12.5703125" style="1" customWidth="1"/>
    <col min="4100" max="4100" width="12.28515625" style="1" customWidth="1"/>
    <col min="4101" max="4101" width="11.28515625" style="1" customWidth="1"/>
    <col min="4102" max="4102" width="16.140625" style="1" customWidth="1"/>
    <col min="4103" max="4103" width="20.42578125" style="1" customWidth="1"/>
    <col min="4104" max="4352" width="9.140625" style="1"/>
    <col min="4353" max="4353" width="34.85546875" style="1" bestFit="1" customWidth="1"/>
    <col min="4354" max="4354" width="12" style="1" customWidth="1"/>
    <col min="4355" max="4355" width="12.5703125" style="1" customWidth="1"/>
    <col min="4356" max="4356" width="12.28515625" style="1" customWidth="1"/>
    <col min="4357" max="4357" width="11.28515625" style="1" customWidth="1"/>
    <col min="4358" max="4358" width="16.140625" style="1" customWidth="1"/>
    <col min="4359" max="4359" width="20.42578125" style="1" customWidth="1"/>
    <col min="4360" max="4608" width="9.140625" style="1"/>
    <col min="4609" max="4609" width="34.85546875" style="1" bestFit="1" customWidth="1"/>
    <col min="4610" max="4610" width="12" style="1" customWidth="1"/>
    <col min="4611" max="4611" width="12.5703125" style="1" customWidth="1"/>
    <col min="4612" max="4612" width="12.28515625" style="1" customWidth="1"/>
    <col min="4613" max="4613" width="11.28515625" style="1" customWidth="1"/>
    <col min="4614" max="4614" width="16.140625" style="1" customWidth="1"/>
    <col min="4615" max="4615" width="20.42578125" style="1" customWidth="1"/>
    <col min="4616" max="4864" width="9.140625" style="1"/>
    <col min="4865" max="4865" width="34.85546875" style="1" bestFit="1" customWidth="1"/>
    <col min="4866" max="4866" width="12" style="1" customWidth="1"/>
    <col min="4867" max="4867" width="12.5703125" style="1" customWidth="1"/>
    <col min="4868" max="4868" width="12.28515625" style="1" customWidth="1"/>
    <col min="4869" max="4869" width="11.28515625" style="1" customWidth="1"/>
    <col min="4870" max="4870" width="16.140625" style="1" customWidth="1"/>
    <col min="4871" max="4871" width="20.42578125" style="1" customWidth="1"/>
    <col min="4872" max="5120" width="9.140625" style="1"/>
    <col min="5121" max="5121" width="34.85546875" style="1" bestFit="1" customWidth="1"/>
    <col min="5122" max="5122" width="12" style="1" customWidth="1"/>
    <col min="5123" max="5123" width="12.5703125" style="1" customWidth="1"/>
    <col min="5124" max="5124" width="12.28515625" style="1" customWidth="1"/>
    <col min="5125" max="5125" width="11.28515625" style="1" customWidth="1"/>
    <col min="5126" max="5126" width="16.140625" style="1" customWidth="1"/>
    <col min="5127" max="5127" width="20.42578125" style="1" customWidth="1"/>
    <col min="5128" max="5376" width="9.140625" style="1"/>
    <col min="5377" max="5377" width="34.85546875" style="1" bestFit="1" customWidth="1"/>
    <col min="5378" max="5378" width="12" style="1" customWidth="1"/>
    <col min="5379" max="5379" width="12.5703125" style="1" customWidth="1"/>
    <col min="5380" max="5380" width="12.28515625" style="1" customWidth="1"/>
    <col min="5381" max="5381" width="11.28515625" style="1" customWidth="1"/>
    <col min="5382" max="5382" width="16.140625" style="1" customWidth="1"/>
    <col min="5383" max="5383" width="20.42578125" style="1" customWidth="1"/>
    <col min="5384" max="5632" width="9.140625" style="1"/>
    <col min="5633" max="5633" width="34.85546875" style="1" bestFit="1" customWidth="1"/>
    <col min="5634" max="5634" width="12" style="1" customWidth="1"/>
    <col min="5635" max="5635" width="12.5703125" style="1" customWidth="1"/>
    <col min="5636" max="5636" width="12.28515625" style="1" customWidth="1"/>
    <col min="5637" max="5637" width="11.28515625" style="1" customWidth="1"/>
    <col min="5638" max="5638" width="16.140625" style="1" customWidth="1"/>
    <col min="5639" max="5639" width="20.42578125" style="1" customWidth="1"/>
    <col min="5640" max="5888" width="9.140625" style="1"/>
    <col min="5889" max="5889" width="34.85546875" style="1" bestFit="1" customWidth="1"/>
    <col min="5890" max="5890" width="12" style="1" customWidth="1"/>
    <col min="5891" max="5891" width="12.5703125" style="1" customWidth="1"/>
    <col min="5892" max="5892" width="12.28515625" style="1" customWidth="1"/>
    <col min="5893" max="5893" width="11.28515625" style="1" customWidth="1"/>
    <col min="5894" max="5894" width="16.140625" style="1" customWidth="1"/>
    <col min="5895" max="5895" width="20.42578125" style="1" customWidth="1"/>
    <col min="5896" max="6144" width="9.140625" style="1"/>
    <col min="6145" max="6145" width="34.85546875" style="1" bestFit="1" customWidth="1"/>
    <col min="6146" max="6146" width="12" style="1" customWidth="1"/>
    <col min="6147" max="6147" width="12.5703125" style="1" customWidth="1"/>
    <col min="6148" max="6148" width="12.28515625" style="1" customWidth="1"/>
    <col min="6149" max="6149" width="11.28515625" style="1" customWidth="1"/>
    <col min="6150" max="6150" width="16.140625" style="1" customWidth="1"/>
    <col min="6151" max="6151" width="20.42578125" style="1" customWidth="1"/>
    <col min="6152" max="6400" width="9.140625" style="1"/>
    <col min="6401" max="6401" width="34.85546875" style="1" bestFit="1" customWidth="1"/>
    <col min="6402" max="6402" width="12" style="1" customWidth="1"/>
    <col min="6403" max="6403" width="12.5703125" style="1" customWidth="1"/>
    <col min="6404" max="6404" width="12.28515625" style="1" customWidth="1"/>
    <col min="6405" max="6405" width="11.28515625" style="1" customWidth="1"/>
    <col min="6406" max="6406" width="16.140625" style="1" customWidth="1"/>
    <col min="6407" max="6407" width="20.42578125" style="1" customWidth="1"/>
    <col min="6408" max="6656" width="9.140625" style="1"/>
    <col min="6657" max="6657" width="34.85546875" style="1" bestFit="1" customWidth="1"/>
    <col min="6658" max="6658" width="12" style="1" customWidth="1"/>
    <col min="6659" max="6659" width="12.5703125" style="1" customWidth="1"/>
    <col min="6660" max="6660" width="12.28515625" style="1" customWidth="1"/>
    <col min="6661" max="6661" width="11.28515625" style="1" customWidth="1"/>
    <col min="6662" max="6662" width="16.140625" style="1" customWidth="1"/>
    <col min="6663" max="6663" width="20.42578125" style="1" customWidth="1"/>
    <col min="6664" max="6912" width="9.140625" style="1"/>
    <col min="6913" max="6913" width="34.85546875" style="1" bestFit="1" customWidth="1"/>
    <col min="6914" max="6914" width="12" style="1" customWidth="1"/>
    <col min="6915" max="6915" width="12.5703125" style="1" customWidth="1"/>
    <col min="6916" max="6916" width="12.28515625" style="1" customWidth="1"/>
    <col min="6917" max="6917" width="11.28515625" style="1" customWidth="1"/>
    <col min="6918" max="6918" width="16.140625" style="1" customWidth="1"/>
    <col min="6919" max="6919" width="20.42578125" style="1" customWidth="1"/>
    <col min="6920" max="7168" width="9.140625" style="1"/>
    <col min="7169" max="7169" width="34.85546875" style="1" bestFit="1" customWidth="1"/>
    <col min="7170" max="7170" width="12" style="1" customWidth="1"/>
    <col min="7171" max="7171" width="12.5703125" style="1" customWidth="1"/>
    <col min="7172" max="7172" width="12.28515625" style="1" customWidth="1"/>
    <col min="7173" max="7173" width="11.28515625" style="1" customWidth="1"/>
    <col min="7174" max="7174" width="16.140625" style="1" customWidth="1"/>
    <col min="7175" max="7175" width="20.42578125" style="1" customWidth="1"/>
    <col min="7176" max="7424" width="9.140625" style="1"/>
    <col min="7425" max="7425" width="34.85546875" style="1" bestFit="1" customWidth="1"/>
    <col min="7426" max="7426" width="12" style="1" customWidth="1"/>
    <col min="7427" max="7427" width="12.5703125" style="1" customWidth="1"/>
    <col min="7428" max="7428" width="12.28515625" style="1" customWidth="1"/>
    <col min="7429" max="7429" width="11.28515625" style="1" customWidth="1"/>
    <col min="7430" max="7430" width="16.140625" style="1" customWidth="1"/>
    <col min="7431" max="7431" width="20.42578125" style="1" customWidth="1"/>
    <col min="7432" max="7680" width="9.140625" style="1"/>
    <col min="7681" max="7681" width="34.85546875" style="1" bestFit="1" customWidth="1"/>
    <col min="7682" max="7682" width="12" style="1" customWidth="1"/>
    <col min="7683" max="7683" width="12.5703125" style="1" customWidth="1"/>
    <col min="7684" max="7684" width="12.28515625" style="1" customWidth="1"/>
    <col min="7685" max="7685" width="11.28515625" style="1" customWidth="1"/>
    <col min="7686" max="7686" width="16.140625" style="1" customWidth="1"/>
    <col min="7687" max="7687" width="20.42578125" style="1" customWidth="1"/>
    <col min="7688" max="7936" width="9.140625" style="1"/>
    <col min="7937" max="7937" width="34.85546875" style="1" bestFit="1" customWidth="1"/>
    <col min="7938" max="7938" width="12" style="1" customWidth="1"/>
    <col min="7939" max="7939" width="12.5703125" style="1" customWidth="1"/>
    <col min="7940" max="7940" width="12.28515625" style="1" customWidth="1"/>
    <col min="7941" max="7941" width="11.28515625" style="1" customWidth="1"/>
    <col min="7942" max="7942" width="16.140625" style="1" customWidth="1"/>
    <col min="7943" max="7943" width="20.42578125" style="1" customWidth="1"/>
    <col min="7944" max="8192" width="9.140625" style="1"/>
    <col min="8193" max="8193" width="34.85546875" style="1" bestFit="1" customWidth="1"/>
    <col min="8194" max="8194" width="12" style="1" customWidth="1"/>
    <col min="8195" max="8195" width="12.5703125" style="1" customWidth="1"/>
    <col min="8196" max="8196" width="12.28515625" style="1" customWidth="1"/>
    <col min="8197" max="8197" width="11.28515625" style="1" customWidth="1"/>
    <col min="8198" max="8198" width="16.140625" style="1" customWidth="1"/>
    <col min="8199" max="8199" width="20.42578125" style="1" customWidth="1"/>
    <col min="8200" max="8448" width="9.140625" style="1"/>
    <col min="8449" max="8449" width="34.85546875" style="1" bestFit="1" customWidth="1"/>
    <col min="8450" max="8450" width="12" style="1" customWidth="1"/>
    <col min="8451" max="8451" width="12.5703125" style="1" customWidth="1"/>
    <col min="8452" max="8452" width="12.28515625" style="1" customWidth="1"/>
    <col min="8453" max="8453" width="11.28515625" style="1" customWidth="1"/>
    <col min="8454" max="8454" width="16.140625" style="1" customWidth="1"/>
    <col min="8455" max="8455" width="20.42578125" style="1" customWidth="1"/>
    <col min="8456" max="8704" width="9.140625" style="1"/>
    <col min="8705" max="8705" width="34.85546875" style="1" bestFit="1" customWidth="1"/>
    <col min="8706" max="8706" width="12" style="1" customWidth="1"/>
    <col min="8707" max="8707" width="12.5703125" style="1" customWidth="1"/>
    <col min="8708" max="8708" width="12.28515625" style="1" customWidth="1"/>
    <col min="8709" max="8709" width="11.28515625" style="1" customWidth="1"/>
    <col min="8710" max="8710" width="16.140625" style="1" customWidth="1"/>
    <col min="8711" max="8711" width="20.42578125" style="1" customWidth="1"/>
    <col min="8712" max="8960" width="9.140625" style="1"/>
    <col min="8961" max="8961" width="34.85546875" style="1" bestFit="1" customWidth="1"/>
    <col min="8962" max="8962" width="12" style="1" customWidth="1"/>
    <col min="8963" max="8963" width="12.5703125" style="1" customWidth="1"/>
    <col min="8964" max="8964" width="12.28515625" style="1" customWidth="1"/>
    <col min="8965" max="8965" width="11.28515625" style="1" customWidth="1"/>
    <col min="8966" max="8966" width="16.140625" style="1" customWidth="1"/>
    <col min="8967" max="8967" width="20.42578125" style="1" customWidth="1"/>
    <col min="8968" max="9216" width="9.140625" style="1"/>
    <col min="9217" max="9217" width="34.85546875" style="1" bestFit="1" customWidth="1"/>
    <col min="9218" max="9218" width="12" style="1" customWidth="1"/>
    <col min="9219" max="9219" width="12.5703125" style="1" customWidth="1"/>
    <col min="9220" max="9220" width="12.28515625" style="1" customWidth="1"/>
    <col min="9221" max="9221" width="11.28515625" style="1" customWidth="1"/>
    <col min="9222" max="9222" width="16.140625" style="1" customWidth="1"/>
    <col min="9223" max="9223" width="20.42578125" style="1" customWidth="1"/>
    <col min="9224" max="9472" width="9.140625" style="1"/>
    <col min="9473" max="9473" width="34.85546875" style="1" bestFit="1" customWidth="1"/>
    <col min="9474" max="9474" width="12" style="1" customWidth="1"/>
    <col min="9475" max="9475" width="12.5703125" style="1" customWidth="1"/>
    <col min="9476" max="9476" width="12.28515625" style="1" customWidth="1"/>
    <col min="9477" max="9477" width="11.28515625" style="1" customWidth="1"/>
    <col min="9478" max="9478" width="16.140625" style="1" customWidth="1"/>
    <col min="9479" max="9479" width="20.42578125" style="1" customWidth="1"/>
    <col min="9480" max="9728" width="9.140625" style="1"/>
    <col min="9729" max="9729" width="34.85546875" style="1" bestFit="1" customWidth="1"/>
    <col min="9730" max="9730" width="12" style="1" customWidth="1"/>
    <col min="9731" max="9731" width="12.5703125" style="1" customWidth="1"/>
    <col min="9732" max="9732" width="12.28515625" style="1" customWidth="1"/>
    <col min="9733" max="9733" width="11.28515625" style="1" customWidth="1"/>
    <col min="9734" max="9734" width="16.140625" style="1" customWidth="1"/>
    <col min="9735" max="9735" width="20.42578125" style="1" customWidth="1"/>
    <col min="9736" max="9984" width="9.140625" style="1"/>
    <col min="9985" max="9985" width="34.85546875" style="1" bestFit="1" customWidth="1"/>
    <col min="9986" max="9986" width="12" style="1" customWidth="1"/>
    <col min="9987" max="9987" width="12.5703125" style="1" customWidth="1"/>
    <col min="9988" max="9988" width="12.28515625" style="1" customWidth="1"/>
    <col min="9989" max="9989" width="11.28515625" style="1" customWidth="1"/>
    <col min="9990" max="9990" width="16.140625" style="1" customWidth="1"/>
    <col min="9991" max="9991" width="20.42578125" style="1" customWidth="1"/>
    <col min="9992" max="10240" width="9.140625" style="1"/>
    <col min="10241" max="10241" width="34.85546875" style="1" bestFit="1" customWidth="1"/>
    <col min="10242" max="10242" width="12" style="1" customWidth="1"/>
    <col min="10243" max="10243" width="12.5703125" style="1" customWidth="1"/>
    <col min="10244" max="10244" width="12.28515625" style="1" customWidth="1"/>
    <col min="10245" max="10245" width="11.28515625" style="1" customWidth="1"/>
    <col min="10246" max="10246" width="16.140625" style="1" customWidth="1"/>
    <col min="10247" max="10247" width="20.42578125" style="1" customWidth="1"/>
    <col min="10248" max="10496" width="9.140625" style="1"/>
    <col min="10497" max="10497" width="34.85546875" style="1" bestFit="1" customWidth="1"/>
    <col min="10498" max="10498" width="12" style="1" customWidth="1"/>
    <col min="10499" max="10499" width="12.5703125" style="1" customWidth="1"/>
    <col min="10500" max="10500" width="12.28515625" style="1" customWidth="1"/>
    <col min="10501" max="10501" width="11.28515625" style="1" customWidth="1"/>
    <col min="10502" max="10502" width="16.140625" style="1" customWidth="1"/>
    <col min="10503" max="10503" width="20.42578125" style="1" customWidth="1"/>
    <col min="10504" max="10752" width="9.140625" style="1"/>
    <col min="10753" max="10753" width="34.85546875" style="1" bestFit="1" customWidth="1"/>
    <col min="10754" max="10754" width="12" style="1" customWidth="1"/>
    <col min="10755" max="10755" width="12.5703125" style="1" customWidth="1"/>
    <col min="10756" max="10756" width="12.28515625" style="1" customWidth="1"/>
    <col min="10757" max="10757" width="11.28515625" style="1" customWidth="1"/>
    <col min="10758" max="10758" width="16.140625" style="1" customWidth="1"/>
    <col min="10759" max="10759" width="20.42578125" style="1" customWidth="1"/>
    <col min="10760" max="11008" width="9.140625" style="1"/>
    <col min="11009" max="11009" width="34.85546875" style="1" bestFit="1" customWidth="1"/>
    <col min="11010" max="11010" width="12" style="1" customWidth="1"/>
    <col min="11011" max="11011" width="12.5703125" style="1" customWidth="1"/>
    <col min="11012" max="11012" width="12.28515625" style="1" customWidth="1"/>
    <col min="11013" max="11013" width="11.28515625" style="1" customWidth="1"/>
    <col min="11014" max="11014" width="16.140625" style="1" customWidth="1"/>
    <col min="11015" max="11015" width="20.42578125" style="1" customWidth="1"/>
    <col min="11016" max="11264" width="9.140625" style="1"/>
    <col min="11265" max="11265" width="34.85546875" style="1" bestFit="1" customWidth="1"/>
    <col min="11266" max="11266" width="12" style="1" customWidth="1"/>
    <col min="11267" max="11267" width="12.5703125" style="1" customWidth="1"/>
    <col min="11268" max="11268" width="12.28515625" style="1" customWidth="1"/>
    <col min="11269" max="11269" width="11.28515625" style="1" customWidth="1"/>
    <col min="11270" max="11270" width="16.140625" style="1" customWidth="1"/>
    <col min="11271" max="11271" width="20.42578125" style="1" customWidth="1"/>
    <col min="11272" max="11520" width="9.140625" style="1"/>
    <col min="11521" max="11521" width="34.85546875" style="1" bestFit="1" customWidth="1"/>
    <col min="11522" max="11522" width="12" style="1" customWidth="1"/>
    <col min="11523" max="11523" width="12.5703125" style="1" customWidth="1"/>
    <col min="11524" max="11524" width="12.28515625" style="1" customWidth="1"/>
    <col min="11525" max="11525" width="11.28515625" style="1" customWidth="1"/>
    <col min="11526" max="11526" width="16.140625" style="1" customWidth="1"/>
    <col min="11527" max="11527" width="20.42578125" style="1" customWidth="1"/>
    <col min="11528" max="11776" width="9.140625" style="1"/>
    <col min="11777" max="11777" width="34.85546875" style="1" bestFit="1" customWidth="1"/>
    <col min="11778" max="11778" width="12" style="1" customWidth="1"/>
    <col min="11779" max="11779" width="12.5703125" style="1" customWidth="1"/>
    <col min="11780" max="11780" width="12.28515625" style="1" customWidth="1"/>
    <col min="11781" max="11781" width="11.28515625" style="1" customWidth="1"/>
    <col min="11782" max="11782" width="16.140625" style="1" customWidth="1"/>
    <col min="11783" max="11783" width="20.42578125" style="1" customWidth="1"/>
    <col min="11784" max="12032" width="9.140625" style="1"/>
    <col min="12033" max="12033" width="34.85546875" style="1" bestFit="1" customWidth="1"/>
    <col min="12034" max="12034" width="12" style="1" customWidth="1"/>
    <col min="12035" max="12035" width="12.5703125" style="1" customWidth="1"/>
    <col min="12036" max="12036" width="12.28515625" style="1" customWidth="1"/>
    <col min="12037" max="12037" width="11.28515625" style="1" customWidth="1"/>
    <col min="12038" max="12038" width="16.140625" style="1" customWidth="1"/>
    <col min="12039" max="12039" width="20.42578125" style="1" customWidth="1"/>
    <col min="12040" max="12288" width="9.140625" style="1"/>
    <col min="12289" max="12289" width="34.85546875" style="1" bestFit="1" customWidth="1"/>
    <col min="12290" max="12290" width="12" style="1" customWidth="1"/>
    <col min="12291" max="12291" width="12.5703125" style="1" customWidth="1"/>
    <col min="12292" max="12292" width="12.28515625" style="1" customWidth="1"/>
    <col min="12293" max="12293" width="11.28515625" style="1" customWidth="1"/>
    <col min="12294" max="12294" width="16.140625" style="1" customWidth="1"/>
    <col min="12295" max="12295" width="20.42578125" style="1" customWidth="1"/>
    <col min="12296" max="12544" width="9.140625" style="1"/>
    <col min="12545" max="12545" width="34.85546875" style="1" bestFit="1" customWidth="1"/>
    <col min="12546" max="12546" width="12" style="1" customWidth="1"/>
    <col min="12547" max="12547" width="12.5703125" style="1" customWidth="1"/>
    <col min="12548" max="12548" width="12.28515625" style="1" customWidth="1"/>
    <col min="12549" max="12549" width="11.28515625" style="1" customWidth="1"/>
    <col min="12550" max="12550" width="16.140625" style="1" customWidth="1"/>
    <col min="12551" max="12551" width="20.42578125" style="1" customWidth="1"/>
    <col min="12552" max="12800" width="9.140625" style="1"/>
    <col min="12801" max="12801" width="34.85546875" style="1" bestFit="1" customWidth="1"/>
    <col min="12802" max="12802" width="12" style="1" customWidth="1"/>
    <col min="12803" max="12803" width="12.5703125" style="1" customWidth="1"/>
    <col min="12804" max="12804" width="12.28515625" style="1" customWidth="1"/>
    <col min="12805" max="12805" width="11.28515625" style="1" customWidth="1"/>
    <col min="12806" max="12806" width="16.140625" style="1" customWidth="1"/>
    <col min="12807" max="12807" width="20.42578125" style="1" customWidth="1"/>
    <col min="12808" max="13056" width="9.140625" style="1"/>
    <col min="13057" max="13057" width="34.85546875" style="1" bestFit="1" customWidth="1"/>
    <col min="13058" max="13058" width="12" style="1" customWidth="1"/>
    <col min="13059" max="13059" width="12.5703125" style="1" customWidth="1"/>
    <col min="13060" max="13060" width="12.28515625" style="1" customWidth="1"/>
    <col min="13061" max="13061" width="11.28515625" style="1" customWidth="1"/>
    <col min="13062" max="13062" width="16.140625" style="1" customWidth="1"/>
    <col min="13063" max="13063" width="20.42578125" style="1" customWidth="1"/>
    <col min="13064" max="13312" width="9.140625" style="1"/>
    <col min="13313" max="13313" width="34.85546875" style="1" bestFit="1" customWidth="1"/>
    <col min="13314" max="13314" width="12" style="1" customWidth="1"/>
    <col min="13315" max="13315" width="12.5703125" style="1" customWidth="1"/>
    <col min="13316" max="13316" width="12.28515625" style="1" customWidth="1"/>
    <col min="13317" max="13317" width="11.28515625" style="1" customWidth="1"/>
    <col min="13318" max="13318" width="16.140625" style="1" customWidth="1"/>
    <col min="13319" max="13319" width="20.42578125" style="1" customWidth="1"/>
    <col min="13320" max="13568" width="9.140625" style="1"/>
    <col min="13569" max="13569" width="34.85546875" style="1" bestFit="1" customWidth="1"/>
    <col min="13570" max="13570" width="12" style="1" customWidth="1"/>
    <col min="13571" max="13571" width="12.5703125" style="1" customWidth="1"/>
    <col min="13572" max="13572" width="12.28515625" style="1" customWidth="1"/>
    <col min="13573" max="13573" width="11.28515625" style="1" customWidth="1"/>
    <col min="13574" max="13574" width="16.140625" style="1" customWidth="1"/>
    <col min="13575" max="13575" width="20.42578125" style="1" customWidth="1"/>
    <col min="13576" max="13824" width="9.140625" style="1"/>
    <col min="13825" max="13825" width="34.85546875" style="1" bestFit="1" customWidth="1"/>
    <col min="13826" max="13826" width="12" style="1" customWidth="1"/>
    <col min="13827" max="13827" width="12.5703125" style="1" customWidth="1"/>
    <col min="13828" max="13828" width="12.28515625" style="1" customWidth="1"/>
    <col min="13829" max="13829" width="11.28515625" style="1" customWidth="1"/>
    <col min="13830" max="13830" width="16.140625" style="1" customWidth="1"/>
    <col min="13831" max="13831" width="20.42578125" style="1" customWidth="1"/>
    <col min="13832" max="14080" width="9.140625" style="1"/>
    <col min="14081" max="14081" width="34.85546875" style="1" bestFit="1" customWidth="1"/>
    <col min="14082" max="14082" width="12" style="1" customWidth="1"/>
    <col min="14083" max="14083" width="12.5703125" style="1" customWidth="1"/>
    <col min="14084" max="14084" width="12.28515625" style="1" customWidth="1"/>
    <col min="14085" max="14085" width="11.28515625" style="1" customWidth="1"/>
    <col min="14086" max="14086" width="16.140625" style="1" customWidth="1"/>
    <col min="14087" max="14087" width="20.42578125" style="1" customWidth="1"/>
    <col min="14088" max="14336" width="9.140625" style="1"/>
    <col min="14337" max="14337" width="34.85546875" style="1" bestFit="1" customWidth="1"/>
    <col min="14338" max="14338" width="12" style="1" customWidth="1"/>
    <col min="14339" max="14339" width="12.5703125" style="1" customWidth="1"/>
    <col min="14340" max="14340" width="12.28515625" style="1" customWidth="1"/>
    <col min="14341" max="14341" width="11.28515625" style="1" customWidth="1"/>
    <col min="14342" max="14342" width="16.140625" style="1" customWidth="1"/>
    <col min="14343" max="14343" width="20.42578125" style="1" customWidth="1"/>
    <col min="14344" max="14592" width="9.140625" style="1"/>
    <col min="14593" max="14593" width="34.85546875" style="1" bestFit="1" customWidth="1"/>
    <col min="14594" max="14594" width="12" style="1" customWidth="1"/>
    <col min="14595" max="14595" width="12.5703125" style="1" customWidth="1"/>
    <col min="14596" max="14596" width="12.28515625" style="1" customWidth="1"/>
    <col min="14597" max="14597" width="11.28515625" style="1" customWidth="1"/>
    <col min="14598" max="14598" width="16.140625" style="1" customWidth="1"/>
    <col min="14599" max="14599" width="20.42578125" style="1" customWidth="1"/>
    <col min="14600" max="14848" width="9.140625" style="1"/>
    <col min="14849" max="14849" width="34.85546875" style="1" bestFit="1" customWidth="1"/>
    <col min="14850" max="14850" width="12" style="1" customWidth="1"/>
    <col min="14851" max="14851" width="12.5703125" style="1" customWidth="1"/>
    <col min="14852" max="14852" width="12.28515625" style="1" customWidth="1"/>
    <col min="14853" max="14853" width="11.28515625" style="1" customWidth="1"/>
    <col min="14854" max="14854" width="16.140625" style="1" customWidth="1"/>
    <col min="14855" max="14855" width="20.42578125" style="1" customWidth="1"/>
    <col min="14856" max="15104" width="9.140625" style="1"/>
    <col min="15105" max="15105" width="34.85546875" style="1" bestFit="1" customWidth="1"/>
    <col min="15106" max="15106" width="12" style="1" customWidth="1"/>
    <col min="15107" max="15107" width="12.5703125" style="1" customWidth="1"/>
    <col min="15108" max="15108" width="12.28515625" style="1" customWidth="1"/>
    <col min="15109" max="15109" width="11.28515625" style="1" customWidth="1"/>
    <col min="15110" max="15110" width="16.140625" style="1" customWidth="1"/>
    <col min="15111" max="15111" width="20.42578125" style="1" customWidth="1"/>
    <col min="15112" max="15360" width="9.140625" style="1"/>
    <col min="15361" max="15361" width="34.85546875" style="1" bestFit="1" customWidth="1"/>
    <col min="15362" max="15362" width="12" style="1" customWidth="1"/>
    <col min="15363" max="15363" width="12.5703125" style="1" customWidth="1"/>
    <col min="15364" max="15364" width="12.28515625" style="1" customWidth="1"/>
    <col min="15365" max="15365" width="11.28515625" style="1" customWidth="1"/>
    <col min="15366" max="15366" width="16.140625" style="1" customWidth="1"/>
    <col min="15367" max="15367" width="20.42578125" style="1" customWidth="1"/>
    <col min="15368" max="15616" width="9.140625" style="1"/>
    <col min="15617" max="15617" width="34.85546875" style="1" bestFit="1" customWidth="1"/>
    <col min="15618" max="15618" width="12" style="1" customWidth="1"/>
    <col min="15619" max="15619" width="12.5703125" style="1" customWidth="1"/>
    <col min="15620" max="15620" width="12.28515625" style="1" customWidth="1"/>
    <col min="15621" max="15621" width="11.28515625" style="1" customWidth="1"/>
    <col min="15622" max="15622" width="16.140625" style="1" customWidth="1"/>
    <col min="15623" max="15623" width="20.42578125" style="1" customWidth="1"/>
    <col min="15624" max="15872" width="9.140625" style="1"/>
    <col min="15873" max="15873" width="34.85546875" style="1" bestFit="1" customWidth="1"/>
    <col min="15874" max="15874" width="12" style="1" customWidth="1"/>
    <col min="15875" max="15875" width="12.5703125" style="1" customWidth="1"/>
    <col min="15876" max="15876" width="12.28515625" style="1" customWidth="1"/>
    <col min="15877" max="15877" width="11.28515625" style="1" customWidth="1"/>
    <col min="15878" max="15878" width="16.140625" style="1" customWidth="1"/>
    <col min="15879" max="15879" width="20.42578125" style="1" customWidth="1"/>
    <col min="15880" max="16128" width="9.140625" style="1"/>
    <col min="16129" max="16129" width="34.85546875" style="1" bestFit="1" customWidth="1"/>
    <col min="16130" max="16130" width="12" style="1" customWidth="1"/>
    <col min="16131" max="16131" width="12.5703125" style="1" customWidth="1"/>
    <col min="16132" max="16132" width="12.28515625" style="1" customWidth="1"/>
    <col min="16133" max="16133" width="11.28515625" style="1" customWidth="1"/>
    <col min="16134" max="16134" width="16.140625" style="1" customWidth="1"/>
    <col min="16135" max="16135" width="20.42578125" style="1" customWidth="1"/>
    <col min="16136" max="16384" width="9.140625" style="1"/>
  </cols>
  <sheetData>
    <row r="1" spans="1:7" x14ac:dyDescent="0.3">
      <c r="A1" s="145" t="s">
        <v>113</v>
      </c>
      <c r="B1" s="145"/>
      <c r="C1" s="145"/>
      <c r="D1" s="145"/>
      <c r="E1" s="145"/>
      <c r="F1" s="145"/>
      <c r="G1" s="145"/>
    </row>
    <row r="2" spans="1:7" ht="67.5" customHeight="1" x14ac:dyDescent="0.3">
      <c r="A2" s="146" t="s">
        <v>137</v>
      </c>
      <c r="B2" s="146"/>
      <c r="C2" s="146"/>
      <c r="D2" s="146"/>
      <c r="E2" s="146"/>
      <c r="F2" s="146"/>
      <c r="G2" s="146"/>
    </row>
    <row r="3" spans="1:7" x14ac:dyDescent="0.3">
      <c r="A3" s="146"/>
      <c r="B3" s="146"/>
      <c r="C3" s="146"/>
      <c r="D3" s="146"/>
      <c r="E3" s="146"/>
      <c r="F3" s="146"/>
      <c r="G3" s="146"/>
    </row>
    <row r="4" spans="1:7" x14ac:dyDescent="0.3">
      <c r="A4" s="90" t="s">
        <v>109</v>
      </c>
    </row>
    <row r="5" spans="1:7" x14ac:dyDescent="0.3">
      <c r="A5" s="16" t="s">
        <v>35</v>
      </c>
      <c r="B5" s="16"/>
      <c r="C5" s="16"/>
      <c r="D5" s="16"/>
      <c r="E5" s="16"/>
      <c r="F5" s="16"/>
      <c r="G5" s="16"/>
    </row>
    <row r="6" spans="1:7" ht="30" x14ac:dyDescent="0.3">
      <c r="A6" s="17" t="s">
        <v>0</v>
      </c>
      <c r="B6" s="17" t="s">
        <v>1</v>
      </c>
      <c r="C6" s="17"/>
      <c r="D6" s="17" t="s">
        <v>2</v>
      </c>
      <c r="E6" s="17" t="s">
        <v>3</v>
      </c>
      <c r="F6" s="17" t="s">
        <v>30</v>
      </c>
      <c r="G6" s="17" t="s">
        <v>5</v>
      </c>
    </row>
    <row r="7" spans="1:7" x14ac:dyDescent="0.3">
      <c r="A7" s="17"/>
      <c r="B7" s="17" t="s">
        <v>6</v>
      </c>
      <c r="C7" s="17" t="s">
        <v>7</v>
      </c>
      <c r="D7" s="17"/>
      <c r="E7" s="17"/>
      <c r="F7" s="17"/>
      <c r="G7" s="17" t="s">
        <v>8</v>
      </c>
    </row>
    <row r="8" spans="1:7" x14ac:dyDescent="0.3">
      <c r="A8" s="18" t="s">
        <v>35</v>
      </c>
      <c r="B8" s="3">
        <v>250</v>
      </c>
      <c r="C8" s="3">
        <f>72%*B8</f>
        <v>180</v>
      </c>
      <c r="D8" s="3">
        <f>2.1%*C8</f>
        <v>3.7800000000000002</v>
      </c>
      <c r="E8" s="3">
        <f>0.4%*C8</f>
        <v>0.72</v>
      </c>
      <c r="F8" s="3">
        <f>15.6%*C8</f>
        <v>28.08</v>
      </c>
      <c r="G8" s="3">
        <f>4*(D8+F8)+9*E8</f>
        <v>133.91999999999999</v>
      </c>
    </row>
    <row r="9" spans="1:7" x14ac:dyDescent="0.3">
      <c r="A9" s="18" t="s">
        <v>33</v>
      </c>
      <c r="B9" s="3">
        <v>5</v>
      </c>
      <c r="C9" s="3">
        <f>100%*B9</f>
        <v>5</v>
      </c>
      <c r="D9" s="3">
        <f>0.5%*C9</f>
        <v>2.5000000000000001E-2</v>
      </c>
      <c r="E9" s="3">
        <f>82.5%*C9</f>
        <v>4.125</v>
      </c>
      <c r="F9" s="3">
        <f>0.8%*C9</f>
        <v>0.04</v>
      </c>
      <c r="G9" s="3">
        <f>4*(D9+F9)+9*E9</f>
        <v>37.384999999999998</v>
      </c>
    </row>
    <row r="10" spans="1:7" x14ac:dyDescent="0.3">
      <c r="A10" s="18" t="s">
        <v>12</v>
      </c>
      <c r="B10" s="3">
        <v>120</v>
      </c>
      <c r="C10" s="3">
        <v>120</v>
      </c>
      <c r="D10" s="3"/>
      <c r="E10" s="3"/>
      <c r="F10" s="3"/>
      <c r="G10" s="3"/>
    </row>
    <row r="11" spans="1:7" x14ac:dyDescent="0.3">
      <c r="A11" s="19" t="s">
        <v>11</v>
      </c>
      <c r="B11" s="3">
        <v>2</v>
      </c>
      <c r="C11" s="3">
        <f>100%*B11</f>
        <v>2</v>
      </c>
      <c r="D11" s="3"/>
      <c r="E11" s="3"/>
      <c r="F11" s="3"/>
      <c r="G11" s="3">
        <f>4*(D11+F11)+9*E11</f>
        <v>0</v>
      </c>
    </row>
    <row r="12" spans="1:7" x14ac:dyDescent="0.3">
      <c r="A12" s="17" t="s">
        <v>13</v>
      </c>
      <c r="B12" s="20">
        <v>150</v>
      </c>
      <c r="C12" s="21">
        <v>150</v>
      </c>
      <c r="D12" s="22">
        <f>SUM(D8:D11)</f>
        <v>3.8050000000000002</v>
      </c>
      <c r="E12" s="22">
        <f>SUM(E8:E11)</f>
        <v>4.8449999999999998</v>
      </c>
      <c r="F12" s="22">
        <f>SUM(F8:F11)</f>
        <v>28.119999999999997</v>
      </c>
      <c r="G12" s="22">
        <f>SUM(G8:G11)</f>
        <v>171.30499999999998</v>
      </c>
    </row>
    <row r="13" spans="1:7" x14ac:dyDescent="0.3">
      <c r="A13" s="23"/>
      <c r="B13" s="23"/>
      <c r="C13" s="23"/>
      <c r="D13" s="24"/>
      <c r="E13" s="24"/>
      <c r="F13" s="24"/>
      <c r="G13" s="24"/>
    </row>
    <row r="14" spans="1:7" x14ac:dyDescent="0.3">
      <c r="A14" s="155" t="s">
        <v>48</v>
      </c>
      <c r="B14" s="155"/>
      <c r="C14" s="155"/>
      <c r="D14" s="155"/>
      <c r="E14" s="155"/>
      <c r="F14" s="155"/>
      <c r="G14" s="155"/>
    </row>
    <row r="15" spans="1:7" ht="30" x14ac:dyDescent="0.3">
      <c r="A15" s="138" t="s">
        <v>0</v>
      </c>
      <c r="B15" s="134" t="s">
        <v>1</v>
      </c>
      <c r="C15" s="135"/>
      <c r="D15" s="138" t="s">
        <v>2</v>
      </c>
      <c r="E15" s="138" t="s">
        <v>3</v>
      </c>
      <c r="F15" s="138" t="s">
        <v>30</v>
      </c>
      <c r="G15" s="17" t="s">
        <v>5</v>
      </c>
    </row>
    <row r="16" spans="1:7" x14ac:dyDescent="0.3">
      <c r="A16" s="131"/>
      <c r="B16" s="17" t="s">
        <v>6</v>
      </c>
      <c r="C16" s="17" t="s">
        <v>7</v>
      </c>
      <c r="D16" s="131"/>
      <c r="E16" s="131"/>
      <c r="F16" s="131"/>
      <c r="G16" s="17" t="s">
        <v>8</v>
      </c>
    </row>
    <row r="17" spans="1:7" x14ac:dyDescent="0.3">
      <c r="A17" s="18" t="s">
        <v>48</v>
      </c>
      <c r="B17" s="35">
        <v>5</v>
      </c>
      <c r="C17" s="35">
        <f>100%*B17</f>
        <v>5</v>
      </c>
      <c r="D17" s="35">
        <f>20%*C17</f>
        <v>1</v>
      </c>
      <c r="E17" s="35">
        <f>13%*C17</f>
        <v>0.65</v>
      </c>
      <c r="F17" s="35">
        <f>26.6%*C17</f>
        <v>1.33</v>
      </c>
      <c r="G17" s="35">
        <f>4*(D17+F17)+9*E17</f>
        <v>15.170000000000002</v>
      </c>
    </row>
    <row r="18" spans="1:7" x14ac:dyDescent="0.3">
      <c r="A18" s="19" t="s">
        <v>10</v>
      </c>
      <c r="B18" s="35">
        <v>10</v>
      </c>
      <c r="C18" s="35">
        <f>100%*B18</f>
        <v>10</v>
      </c>
      <c r="D18" s="35"/>
      <c r="E18" s="35"/>
      <c r="F18" s="35">
        <f>99%*C18</f>
        <v>9.9</v>
      </c>
      <c r="G18" s="35">
        <f>4*(D18+F18)+9*E18</f>
        <v>39.6</v>
      </c>
    </row>
    <row r="19" spans="1:7" x14ac:dyDescent="0.3">
      <c r="A19" s="17" t="s">
        <v>13</v>
      </c>
      <c r="B19" s="134">
        <v>20</v>
      </c>
      <c r="C19" s="135"/>
      <c r="D19" s="38">
        <f>SUM(D17:D18)</f>
        <v>1</v>
      </c>
      <c r="E19" s="38">
        <f>SUM(E17:E18)</f>
        <v>0.65</v>
      </c>
      <c r="F19" s="38">
        <f>SUM(F17:F18)</f>
        <v>11.23</v>
      </c>
      <c r="G19" s="38">
        <f>SUM(G17:G18)</f>
        <v>54.77</v>
      </c>
    </row>
    <row r="21" spans="1:7" x14ac:dyDescent="0.3">
      <c r="A21" s="25" t="s">
        <v>110</v>
      </c>
      <c r="B21" s="163">
        <f>B19+B12</f>
        <v>170</v>
      </c>
      <c r="C21" s="164"/>
      <c r="D21" s="52">
        <f>D19+D12</f>
        <v>4.8049999999999997</v>
      </c>
      <c r="E21" s="52">
        <f>E19+E12</f>
        <v>5.4950000000000001</v>
      </c>
      <c r="F21" s="52">
        <f>F19+F12</f>
        <v>39.349999999999994</v>
      </c>
      <c r="G21" s="52">
        <f>G19+G12</f>
        <v>226.07499999999999</v>
      </c>
    </row>
    <row r="22" spans="1:7" s="7" customFormat="1" x14ac:dyDescent="0.3">
      <c r="A22" s="91"/>
      <c r="B22" s="92"/>
      <c r="C22" s="92"/>
      <c r="D22" s="92"/>
      <c r="E22" s="92"/>
      <c r="F22" s="92"/>
      <c r="G22" s="92"/>
    </row>
    <row r="23" spans="1:7" s="7" customFormat="1" x14ac:dyDescent="0.3">
      <c r="A23" s="91"/>
      <c r="B23" s="92"/>
      <c r="C23" s="92"/>
      <c r="D23" s="92"/>
      <c r="E23" s="92"/>
      <c r="F23" s="92"/>
      <c r="G23" s="92"/>
    </row>
    <row r="24" spans="1:7" x14ac:dyDescent="0.3">
      <c r="A24" s="25" t="s">
        <v>135</v>
      </c>
    </row>
    <row r="25" spans="1:7" x14ac:dyDescent="0.3">
      <c r="A25" s="166" t="s">
        <v>76</v>
      </c>
      <c r="B25" s="166"/>
      <c r="C25" s="166"/>
    </row>
    <row r="26" spans="1:7" ht="29.25" customHeight="1" x14ac:dyDescent="0.3">
      <c r="A26" s="126" t="s">
        <v>0</v>
      </c>
      <c r="B26" s="126" t="s">
        <v>1</v>
      </c>
      <c r="C26" s="126"/>
      <c r="D26" s="138" t="s">
        <v>2</v>
      </c>
      <c r="E26" s="138" t="s">
        <v>3</v>
      </c>
      <c r="F26" s="126" t="s">
        <v>4</v>
      </c>
      <c r="G26" s="17" t="s">
        <v>5</v>
      </c>
    </row>
    <row r="27" spans="1:7" x14ac:dyDescent="0.3">
      <c r="A27" s="126"/>
      <c r="B27" s="17" t="s">
        <v>6</v>
      </c>
      <c r="C27" s="17" t="s">
        <v>7</v>
      </c>
      <c r="D27" s="131"/>
      <c r="E27" s="131"/>
      <c r="F27" s="126"/>
      <c r="G27" s="17" t="s">
        <v>8</v>
      </c>
    </row>
    <row r="28" spans="1:7" x14ac:dyDescent="0.3">
      <c r="A28" s="19" t="s">
        <v>25</v>
      </c>
      <c r="B28" s="35">
        <v>180</v>
      </c>
      <c r="C28" s="35">
        <f>75%*B28</f>
        <v>135</v>
      </c>
      <c r="D28" s="35">
        <f>1.87%*C28</f>
        <v>2.5245000000000002</v>
      </c>
      <c r="E28" s="35"/>
      <c r="F28" s="35">
        <f>4.16%*C28</f>
        <v>5.6159999999999997</v>
      </c>
      <c r="G28" s="35">
        <f t="shared" ref="G28:G33" si="0">4*(D28+F28)+9*E28</f>
        <v>32.561999999999998</v>
      </c>
    </row>
    <row r="29" spans="1:7" x14ac:dyDescent="0.3">
      <c r="A29" s="19" t="s">
        <v>57</v>
      </c>
      <c r="B29" s="35">
        <v>25</v>
      </c>
      <c r="C29" s="35">
        <f>90%*B29</f>
        <v>22.5</v>
      </c>
      <c r="D29" s="35">
        <f>1.66%*C29</f>
        <v>0.3735</v>
      </c>
      <c r="E29" s="35"/>
      <c r="F29" s="35">
        <f>10%*C29</f>
        <v>2.25</v>
      </c>
      <c r="G29" s="35">
        <f t="shared" si="0"/>
        <v>10.494</v>
      </c>
    </row>
    <row r="30" spans="1:7" x14ac:dyDescent="0.3">
      <c r="A30" s="19" t="s">
        <v>27</v>
      </c>
      <c r="B30" s="35">
        <v>0.2</v>
      </c>
      <c r="C30" s="35">
        <f>92%*B30</f>
        <v>0.18400000000000002</v>
      </c>
      <c r="D30" s="35"/>
      <c r="E30" s="35"/>
      <c r="F30" s="35"/>
      <c r="G30" s="35">
        <f t="shared" si="0"/>
        <v>0</v>
      </c>
    </row>
    <row r="31" spans="1:7" x14ac:dyDescent="0.3">
      <c r="A31" s="19" t="s">
        <v>77</v>
      </c>
      <c r="B31" s="35">
        <v>0.05</v>
      </c>
      <c r="C31" s="35">
        <f>100%*B31</f>
        <v>0.05</v>
      </c>
      <c r="D31" s="35"/>
      <c r="E31" s="35"/>
      <c r="F31" s="35"/>
      <c r="G31" s="35">
        <f t="shared" si="0"/>
        <v>0</v>
      </c>
    </row>
    <row r="32" spans="1:7" x14ac:dyDescent="0.3">
      <c r="A32" s="19" t="s">
        <v>11</v>
      </c>
      <c r="B32" s="35">
        <v>1</v>
      </c>
      <c r="C32" s="35">
        <f>B32*100%</f>
        <v>1</v>
      </c>
      <c r="D32" s="35">
        <f>C32*10%</f>
        <v>0.1</v>
      </c>
      <c r="E32" s="35">
        <f>C32*1.3%</f>
        <v>1.3000000000000001E-2</v>
      </c>
      <c r="F32" s="35">
        <f>C32*69%</f>
        <v>0.69</v>
      </c>
      <c r="G32" s="35">
        <f t="shared" si="0"/>
        <v>3.2769999999999997</v>
      </c>
    </row>
    <row r="33" spans="1:7" x14ac:dyDescent="0.3">
      <c r="A33" s="19" t="s">
        <v>20</v>
      </c>
      <c r="B33" s="35">
        <v>4</v>
      </c>
      <c r="C33" s="35">
        <f>85%*B33</f>
        <v>3.4</v>
      </c>
      <c r="D33" s="35"/>
      <c r="E33" s="35"/>
      <c r="F33" s="35"/>
      <c r="G33" s="35">
        <f t="shared" si="0"/>
        <v>0</v>
      </c>
    </row>
    <row r="34" spans="1:7" x14ac:dyDescent="0.3">
      <c r="A34" s="17" t="s">
        <v>13</v>
      </c>
      <c r="B34" s="126">
        <v>160</v>
      </c>
      <c r="C34" s="126"/>
      <c r="D34" s="38">
        <f>SUM(D28:D33)</f>
        <v>2.9980000000000002</v>
      </c>
      <c r="E34" s="38">
        <f>SUM(E28:E33)</f>
        <v>1.3000000000000001E-2</v>
      </c>
      <c r="F34" s="38">
        <f>SUM(F28:F33)</f>
        <v>8.5559999999999992</v>
      </c>
      <c r="G34" s="38">
        <f>SUM(G28:G33)</f>
        <v>46.332999999999998</v>
      </c>
    </row>
    <row r="38" spans="1:7" s="7" customFormat="1" x14ac:dyDescent="0.3">
      <c r="A38" s="165" t="s">
        <v>78</v>
      </c>
      <c r="B38" s="165"/>
      <c r="C38" s="165"/>
      <c r="D38" s="165"/>
      <c r="E38" s="165"/>
      <c r="F38" s="165"/>
      <c r="G38" s="165"/>
    </row>
    <row r="39" spans="1:7" ht="30" x14ac:dyDescent="0.3">
      <c r="A39" s="126" t="s">
        <v>0</v>
      </c>
      <c r="B39" s="126" t="s">
        <v>1</v>
      </c>
      <c r="C39" s="126"/>
      <c r="D39" s="138" t="s">
        <v>2</v>
      </c>
      <c r="E39" s="138" t="s">
        <v>3</v>
      </c>
      <c r="F39" s="126" t="s">
        <v>4</v>
      </c>
      <c r="G39" s="17" t="s">
        <v>5</v>
      </c>
    </row>
    <row r="40" spans="1:7" x14ac:dyDescent="0.3">
      <c r="A40" s="126"/>
      <c r="B40" s="17" t="s">
        <v>6</v>
      </c>
      <c r="C40" s="17" t="s">
        <v>7</v>
      </c>
      <c r="D40" s="131"/>
      <c r="E40" s="131"/>
      <c r="F40" s="126"/>
      <c r="G40" s="17" t="s">
        <v>8</v>
      </c>
    </row>
    <row r="41" spans="1:7" x14ac:dyDescent="0.3">
      <c r="A41" s="19" t="s">
        <v>59</v>
      </c>
      <c r="B41" s="35">
        <v>120</v>
      </c>
      <c r="C41" s="35">
        <f>B41*100%</f>
        <v>120</v>
      </c>
      <c r="D41" s="35">
        <f>C41*20.8%</f>
        <v>24.96</v>
      </c>
      <c r="E41" s="35">
        <f>C41*2%</f>
        <v>2.4</v>
      </c>
      <c r="F41" s="35">
        <f>C41*46.6%</f>
        <v>55.92</v>
      </c>
      <c r="G41" s="35">
        <f t="shared" ref="G41:G48" si="1">4*(D41+F41)+9*E41</f>
        <v>345.12</v>
      </c>
    </row>
    <row r="42" spans="1:7" x14ac:dyDescent="0.3">
      <c r="A42" s="19" t="s">
        <v>24</v>
      </c>
      <c r="B42" s="35">
        <v>5</v>
      </c>
      <c r="C42" s="35">
        <f>100%*B42</f>
        <v>5</v>
      </c>
      <c r="D42" s="35"/>
      <c r="E42" s="35">
        <f>99.9%*C42</f>
        <v>4.995000000000001</v>
      </c>
      <c r="F42" s="35"/>
      <c r="G42" s="35">
        <f t="shared" si="1"/>
        <v>44.955000000000013</v>
      </c>
    </row>
    <row r="43" spans="1:7" x14ac:dyDescent="0.3">
      <c r="A43" s="19" t="s">
        <v>11</v>
      </c>
      <c r="B43" s="35">
        <v>2</v>
      </c>
      <c r="C43" s="35">
        <f>100%*B43</f>
        <v>2</v>
      </c>
      <c r="D43" s="35"/>
      <c r="E43" s="35"/>
      <c r="F43" s="35"/>
      <c r="G43" s="35">
        <f t="shared" si="1"/>
        <v>0</v>
      </c>
    </row>
    <row r="44" spans="1:7" x14ac:dyDescent="0.3">
      <c r="A44" s="19" t="s">
        <v>26</v>
      </c>
      <c r="B44" s="35">
        <v>0.25</v>
      </c>
      <c r="C44" s="35">
        <f>100%*B44</f>
        <v>0.25</v>
      </c>
      <c r="D44" s="35"/>
      <c r="E44" s="35"/>
      <c r="F44" s="35"/>
      <c r="G44" s="35">
        <f t="shared" si="1"/>
        <v>0</v>
      </c>
    </row>
    <row r="45" spans="1:7" x14ac:dyDescent="0.3">
      <c r="A45" s="19" t="s">
        <v>77</v>
      </c>
      <c r="B45" s="35">
        <v>0.2</v>
      </c>
      <c r="C45" s="35">
        <f>100%*B45</f>
        <v>0.2</v>
      </c>
      <c r="D45" s="35"/>
      <c r="E45" s="35"/>
      <c r="F45" s="35"/>
      <c r="G45" s="35">
        <f t="shared" si="1"/>
        <v>0</v>
      </c>
    </row>
    <row r="46" spans="1:7" x14ac:dyDescent="0.3">
      <c r="A46" s="19" t="s">
        <v>21</v>
      </c>
      <c r="B46" s="35">
        <v>20</v>
      </c>
      <c r="C46" s="35">
        <f>90%*B46</f>
        <v>18</v>
      </c>
      <c r="D46" s="35">
        <f>1.58%*C46</f>
        <v>0.28440000000000004</v>
      </c>
      <c r="E46" s="35"/>
      <c r="F46" s="35">
        <f>9.5%*C46</f>
        <v>1.71</v>
      </c>
      <c r="G46" s="35">
        <f t="shared" si="1"/>
        <v>7.9775999999999998</v>
      </c>
    </row>
    <row r="47" spans="1:7" ht="15.75" customHeight="1" x14ac:dyDescent="0.3">
      <c r="A47" s="19" t="s">
        <v>27</v>
      </c>
      <c r="B47" s="35">
        <v>1</v>
      </c>
      <c r="C47" s="35">
        <f>92%*B47</f>
        <v>0.92</v>
      </c>
      <c r="D47" s="35"/>
      <c r="E47" s="35"/>
      <c r="F47" s="35"/>
      <c r="G47" s="35">
        <f t="shared" si="1"/>
        <v>0</v>
      </c>
    </row>
    <row r="48" spans="1:7" x14ac:dyDescent="0.3">
      <c r="A48" s="19" t="s">
        <v>20</v>
      </c>
      <c r="B48" s="35">
        <v>8</v>
      </c>
      <c r="C48" s="35">
        <f>85%*B48</f>
        <v>6.8</v>
      </c>
      <c r="D48" s="35"/>
      <c r="E48" s="35"/>
      <c r="F48" s="35"/>
      <c r="G48" s="35">
        <f t="shared" si="1"/>
        <v>0</v>
      </c>
    </row>
    <row r="49" spans="1:7" x14ac:dyDescent="0.3">
      <c r="A49" s="17" t="s">
        <v>13</v>
      </c>
      <c r="B49" s="134">
        <v>450</v>
      </c>
      <c r="C49" s="135"/>
      <c r="D49" s="38">
        <f>SUM(D41:D48)</f>
        <v>25.244400000000002</v>
      </c>
      <c r="E49" s="38">
        <f>SUM(E41:E48)</f>
        <v>7.3950000000000014</v>
      </c>
      <c r="F49" s="38">
        <f>SUM(F41:F48)</f>
        <v>57.63</v>
      </c>
      <c r="G49" s="38">
        <f>SUM(G41:G48)</f>
        <v>398.05260000000004</v>
      </c>
    </row>
    <row r="50" spans="1:7" s="56" customFormat="1" ht="12.75" x14ac:dyDescent="0.2">
      <c r="A50" s="93"/>
    </row>
    <row r="51" spans="1:7" s="56" customFormat="1" ht="12.75" x14ac:dyDescent="0.2">
      <c r="A51" s="93"/>
    </row>
    <row r="52" spans="1:7" x14ac:dyDescent="0.3">
      <c r="A52" s="148" t="s">
        <v>123</v>
      </c>
      <c r="B52" s="148"/>
      <c r="C52" s="148"/>
      <c r="D52" s="148"/>
      <c r="E52" s="148"/>
      <c r="F52" s="148"/>
      <c r="G52" s="148"/>
    </row>
    <row r="53" spans="1:7" ht="30" x14ac:dyDescent="0.3">
      <c r="A53" s="149" t="s">
        <v>0</v>
      </c>
      <c r="B53" s="149" t="s">
        <v>1</v>
      </c>
      <c r="C53" s="149"/>
      <c r="D53" s="150" t="s">
        <v>2</v>
      </c>
      <c r="E53" s="150" t="s">
        <v>3</v>
      </c>
      <c r="F53" s="149" t="s">
        <v>30</v>
      </c>
      <c r="G53" s="10" t="s">
        <v>5</v>
      </c>
    </row>
    <row r="54" spans="1:7" x14ac:dyDescent="0.3">
      <c r="A54" s="149"/>
      <c r="B54" s="10" t="s">
        <v>6</v>
      </c>
      <c r="C54" s="10" t="s">
        <v>7</v>
      </c>
      <c r="D54" s="151"/>
      <c r="E54" s="151"/>
      <c r="F54" s="149"/>
      <c r="G54" s="10" t="s">
        <v>8</v>
      </c>
    </row>
    <row r="55" spans="1:7" x14ac:dyDescent="0.3">
      <c r="A55" s="55" t="s">
        <v>93</v>
      </c>
      <c r="B55" s="6">
        <v>250</v>
      </c>
      <c r="C55" s="6">
        <f>B55*75%</f>
        <v>187.5</v>
      </c>
      <c r="D55" s="6">
        <f>18.6%*C55</f>
        <v>34.875000000000007</v>
      </c>
      <c r="E55" s="6">
        <f>17.3%*C55</f>
        <v>32.4375</v>
      </c>
      <c r="F55" s="6"/>
      <c r="G55" s="6">
        <f>4*(D55+F55)+9*E55</f>
        <v>431.4375</v>
      </c>
    </row>
    <row r="56" spans="1:7" x14ac:dyDescent="0.3">
      <c r="A56" s="30" t="s">
        <v>24</v>
      </c>
      <c r="B56" s="6">
        <v>7</v>
      </c>
      <c r="C56" s="6">
        <f>100%*B56</f>
        <v>7</v>
      </c>
      <c r="D56" s="6"/>
      <c r="E56" s="6">
        <f>99.9%*C56</f>
        <v>6.9930000000000003</v>
      </c>
      <c r="F56" s="6"/>
      <c r="G56" s="6">
        <f t="shared" ref="G56:G61" si="2">4*(D56+F56)+9*E56</f>
        <v>62.937000000000005</v>
      </c>
    </row>
    <row r="57" spans="1:7" x14ac:dyDescent="0.3">
      <c r="A57" s="30" t="s">
        <v>26</v>
      </c>
      <c r="B57" s="6">
        <v>0.25</v>
      </c>
      <c r="C57" s="6">
        <v>0.25</v>
      </c>
      <c r="D57" s="6"/>
      <c r="E57" s="6"/>
      <c r="F57" s="6"/>
      <c r="G57" s="6">
        <f t="shared" si="2"/>
        <v>0</v>
      </c>
    </row>
    <row r="58" spans="1:7" x14ac:dyDescent="0.3">
      <c r="A58" s="55" t="s">
        <v>62</v>
      </c>
      <c r="B58" s="6">
        <v>5</v>
      </c>
      <c r="C58" s="6">
        <f>B58*100%</f>
        <v>5</v>
      </c>
      <c r="D58" s="6">
        <f>C58*10%</f>
        <v>0.5</v>
      </c>
      <c r="E58" s="6">
        <f>C58*1.3%</f>
        <v>6.5000000000000002E-2</v>
      </c>
      <c r="F58" s="6">
        <f>C58*69%</f>
        <v>3.4499999999999997</v>
      </c>
      <c r="G58" s="6">
        <f t="shared" si="2"/>
        <v>16.384999999999998</v>
      </c>
    </row>
    <row r="59" spans="1:7" x14ac:dyDescent="0.3">
      <c r="A59" s="30" t="s">
        <v>11</v>
      </c>
      <c r="B59" s="6">
        <v>1</v>
      </c>
      <c r="C59" s="6">
        <f>100%*B59</f>
        <v>1</v>
      </c>
      <c r="D59" s="6"/>
      <c r="E59" s="6"/>
      <c r="F59" s="6"/>
      <c r="G59" s="6">
        <f t="shared" si="2"/>
        <v>0</v>
      </c>
    </row>
    <row r="60" spans="1:7" x14ac:dyDescent="0.3">
      <c r="A60" s="30" t="s">
        <v>21</v>
      </c>
      <c r="B60" s="6">
        <v>12</v>
      </c>
      <c r="C60" s="6">
        <f>90%*B60</f>
        <v>10.8</v>
      </c>
      <c r="D60" s="6">
        <f>1.58%*C60</f>
        <v>0.17064000000000004</v>
      </c>
      <c r="E60" s="6"/>
      <c r="F60" s="6">
        <f>9.5%*C60</f>
        <v>1.026</v>
      </c>
      <c r="G60" s="6">
        <f t="shared" si="2"/>
        <v>4.7865600000000006</v>
      </c>
    </row>
    <row r="61" spans="1:7" x14ac:dyDescent="0.3">
      <c r="A61" s="30" t="s">
        <v>27</v>
      </c>
      <c r="B61" s="6">
        <v>0.5</v>
      </c>
      <c r="C61" s="6">
        <f>92%*B61</f>
        <v>0.46</v>
      </c>
      <c r="D61" s="6"/>
      <c r="E61" s="6"/>
      <c r="F61" s="6"/>
      <c r="G61" s="6">
        <f t="shared" si="2"/>
        <v>0</v>
      </c>
    </row>
    <row r="62" spans="1:7" x14ac:dyDescent="0.3">
      <c r="A62" s="10" t="s">
        <v>13</v>
      </c>
      <c r="B62" s="152">
        <v>170</v>
      </c>
      <c r="C62" s="153"/>
      <c r="D62" s="15">
        <f>SUM(D55:D61)</f>
        <v>35.545640000000006</v>
      </c>
      <c r="E62" s="15">
        <f>SUM(E55:E61)</f>
        <v>39.4955</v>
      </c>
      <c r="F62" s="15">
        <f>SUM(F55:F61)</f>
        <v>4.476</v>
      </c>
      <c r="G62" s="15">
        <f>SUM(G55:G61)</f>
        <v>515.54606000000001</v>
      </c>
    </row>
    <row r="63" spans="1:7" ht="16.5" customHeight="1" x14ac:dyDescent="0.3">
      <c r="A63" s="144" t="s">
        <v>66</v>
      </c>
      <c r="B63" s="144"/>
      <c r="C63" s="144"/>
      <c r="D63" s="144"/>
      <c r="E63" s="144"/>
      <c r="F63" s="144"/>
      <c r="G63" s="144"/>
    </row>
    <row r="64" spans="1:7" ht="26.25" customHeight="1" x14ac:dyDescent="0.3">
      <c r="A64" s="126" t="s">
        <v>0</v>
      </c>
      <c r="B64" s="126" t="s">
        <v>1</v>
      </c>
      <c r="C64" s="126"/>
      <c r="D64" s="138" t="s">
        <v>2</v>
      </c>
      <c r="E64" s="138" t="s">
        <v>3</v>
      </c>
      <c r="F64" s="126" t="s">
        <v>4</v>
      </c>
      <c r="G64" s="17" t="s">
        <v>5</v>
      </c>
    </row>
    <row r="65" spans="1:7" x14ac:dyDescent="0.3">
      <c r="A65" s="126"/>
      <c r="B65" s="17" t="s">
        <v>6</v>
      </c>
      <c r="C65" s="17" t="s">
        <v>7</v>
      </c>
      <c r="D65" s="131"/>
      <c r="E65" s="131"/>
      <c r="F65" s="126"/>
      <c r="G65" s="17" t="s">
        <v>8</v>
      </c>
    </row>
    <row r="66" spans="1:7" x14ac:dyDescent="0.3">
      <c r="A66" s="83" t="s">
        <v>67</v>
      </c>
      <c r="B66" s="3">
        <v>25</v>
      </c>
      <c r="C66" s="3">
        <f>100%*B66</f>
        <v>25</v>
      </c>
      <c r="D66" s="3">
        <f>1.6%*C66</f>
        <v>0.4</v>
      </c>
      <c r="E66" s="3"/>
      <c r="F66" s="3">
        <f>40%*C66</f>
        <v>10</v>
      </c>
      <c r="G66" s="3">
        <f>4*(D66+F66)+9*E66</f>
        <v>41.6</v>
      </c>
    </row>
    <row r="67" spans="1:7" x14ac:dyDescent="0.3">
      <c r="A67" s="83" t="s">
        <v>10</v>
      </c>
      <c r="B67" s="3">
        <v>10</v>
      </c>
      <c r="C67" s="3">
        <f>100%*B67</f>
        <v>10</v>
      </c>
      <c r="D67" s="3"/>
      <c r="E67" s="3"/>
      <c r="F67" s="3">
        <f>99%*C67</f>
        <v>9.9</v>
      </c>
      <c r="G67" s="3">
        <f>4*(D67+F67)+9*E67</f>
        <v>39.6</v>
      </c>
    </row>
    <row r="68" spans="1:7" x14ac:dyDescent="0.3">
      <c r="A68" s="88" t="s">
        <v>13</v>
      </c>
      <c r="B68" s="136">
        <v>200</v>
      </c>
      <c r="C68" s="137"/>
      <c r="D68" s="22">
        <f>SUM(D66:D67)</f>
        <v>0.4</v>
      </c>
      <c r="E68" s="22">
        <f>SUM(E66:E67)</f>
        <v>0</v>
      </c>
      <c r="F68" s="22">
        <f>SUM(F66:F67)</f>
        <v>19.899999999999999</v>
      </c>
      <c r="G68" s="22">
        <f>SUM(G66:G67)</f>
        <v>81.2</v>
      </c>
    </row>
    <row r="69" spans="1:7" x14ac:dyDescent="0.3">
      <c r="A69" s="10"/>
      <c r="B69" s="13"/>
      <c r="C69" s="14"/>
      <c r="D69" s="15"/>
      <c r="E69" s="15"/>
      <c r="F69" s="15"/>
      <c r="G69" s="15"/>
    </row>
    <row r="70" spans="1:7" x14ac:dyDescent="0.3">
      <c r="A70" s="88" t="s">
        <v>14</v>
      </c>
      <c r="B70" s="22">
        <v>250</v>
      </c>
      <c r="C70" s="22">
        <f>B70*100%</f>
        <v>250</v>
      </c>
      <c r="D70" s="22">
        <f>C70*7.9%</f>
        <v>19.75</v>
      </c>
      <c r="E70" s="22">
        <f>C70*1%</f>
        <v>2.5</v>
      </c>
      <c r="F70" s="22">
        <f>C70*49.6%</f>
        <v>124</v>
      </c>
      <c r="G70" s="22">
        <f>4*(D70+F70)+9*E70</f>
        <v>597.5</v>
      </c>
    </row>
    <row r="71" spans="1:7" x14ac:dyDescent="0.3">
      <c r="A71" s="45"/>
      <c r="B71" s="45"/>
      <c r="C71" s="45"/>
      <c r="D71" s="53"/>
      <c r="E71" s="53"/>
      <c r="F71" s="53"/>
      <c r="G71" s="53"/>
    </row>
    <row r="73" spans="1:7" x14ac:dyDescent="0.3">
      <c r="A73" s="25" t="s">
        <v>124</v>
      </c>
      <c r="B73" s="163">
        <f>C70+B62+B49+B34+B68</f>
        <v>1230</v>
      </c>
      <c r="C73" s="164"/>
      <c r="D73" s="52">
        <f t="shared" ref="D73:F73" si="3">D70+D62+D49+D34+D68</f>
        <v>83.938040000000015</v>
      </c>
      <c r="E73" s="52">
        <f t="shared" si="3"/>
        <v>49.403500000000001</v>
      </c>
      <c r="F73" s="52">
        <f t="shared" si="3"/>
        <v>214.56200000000001</v>
      </c>
      <c r="G73" s="52">
        <f>G70+G62+G49+G34+G68</f>
        <v>1638.6316600000002</v>
      </c>
    </row>
    <row r="74" spans="1:7" s="7" customFormat="1" x14ac:dyDescent="0.3">
      <c r="A74" s="91"/>
      <c r="B74" s="92"/>
      <c r="C74" s="92"/>
      <c r="D74" s="92"/>
      <c r="E74" s="92"/>
      <c r="F74" s="92"/>
      <c r="G74" s="92"/>
    </row>
    <row r="75" spans="1:7" s="7" customFormat="1" x14ac:dyDescent="0.3">
      <c r="A75" s="91"/>
      <c r="B75" s="92"/>
      <c r="C75" s="92"/>
      <c r="D75" s="92"/>
      <c r="E75" s="92"/>
      <c r="F75" s="92"/>
      <c r="G75" s="92"/>
    </row>
    <row r="76" spans="1:7" x14ac:dyDescent="0.3">
      <c r="A76" s="25" t="s">
        <v>134</v>
      </c>
    </row>
    <row r="78" spans="1:7" x14ac:dyDescent="0.3">
      <c r="A78" s="155" t="s">
        <v>98</v>
      </c>
      <c r="B78" s="155"/>
      <c r="C78" s="155"/>
      <c r="D78" s="155"/>
      <c r="E78" s="155"/>
      <c r="F78" s="155"/>
      <c r="G78" s="155"/>
    </row>
    <row r="79" spans="1:7" ht="30" x14ac:dyDescent="0.3">
      <c r="A79" s="126" t="s">
        <v>0</v>
      </c>
      <c r="B79" s="126" t="s">
        <v>1</v>
      </c>
      <c r="C79" s="126"/>
      <c r="D79" s="138" t="s">
        <v>2</v>
      </c>
      <c r="E79" s="138" t="s">
        <v>3</v>
      </c>
      <c r="F79" s="126" t="s">
        <v>30</v>
      </c>
      <c r="G79" s="17" t="s">
        <v>5</v>
      </c>
    </row>
    <row r="80" spans="1:7" x14ac:dyDescent="0.3">
      <c r="A80" s="126"/>
      <c r="B80" s="17" t="s">
        <v>6</v>
      </c>
      <c r="C80" s="17" t="s">
        <v>7</v>
      </c>
      <c r="D80" s="131"/>
      <c r="E80" s="131"/>
      <c r="F80" s="126"/>
      <c r="G80" s="17" t="s">
        <v>8</v>
      </c>
    </row>
    <row r="81" spans="1:7" x14ac:dyDescent="0.3">
      <c r="A81" s="18" t="s">
        <v>99</v>
      </c>
      <c r="B81" s="35">
        <v>150</v>
      </c>
      <c r="C81" s="35">
        <f>B81*92%</f>
        <v>138</v>
      </c>
      <c r="D81" s="35">
        <f>23%*C81</f>
        <v>31.740000000000002</v>
      </c>
      <c r="E81" s="35">
        <f>1.9%*C81</f>
        <v>2.6219999999999999</v>
      </c>
      <c r="F81" s="35">
        <f>0.7%*C81</f>
        <v>0.96599999999999986</v>
      </c>
      <c r="G81" s="35">
        <f>4*(D81+F81)+9*E81</f>
        <v>154.42200000000003</v>
      </c>
    </row>
    <row r="82" spans="1:7" x14ac:dyDescent="0.3">
      <c r="A82" s="18" t="s">
        <v>100</v>
      </c>
      <c r="B82" s="35">
        <v>10</v>
      </c>
      <c r="C82" s="35">
        <f>B82*100%</f>
        <v>10</v>
      </c>
      <c r="D82" s="35">
        <f>C82*8%</f>
        <v>0.8</v>
      </c>
      <c r="E82" s="35">
        <f>C82*1%</f>
        <v>0.1</v>
      </c>
      <c r="F82" s="35">
        <f>C82*50%</f>
        <v>5</v>
      </c>
      <c r="G82" s="35">
        <f>4*(D82+F82)+9*E82</f>
        <v>24.099999999999998</v>
      </c>
    </row>
    <row r="83" spans="1:7" x14ac:dyDescent="0.3">
      <c r="A83" s="18" t="s">
        <v>24</v>
      </c>
      <c r="B83" s="35">
        <v>5</v>
      </c>
      <c r="C83" s="35">
        <f>100%*B83</f>
        <v>5</v>
      </c>
      <c r="D83" s="35"/>
      <c r="E83" s="35">
        <f>99.9%*C83</f>
        <v>4.995000000000001</v>
      </c>
      <c r="F83" s="35"/>
      <c r="G83" s="35">
        <f>4*(D83+F83)+9*E83</f>
        <v>44.955000000000013</v>
      </c>
    </row>
    <row r="84" spans="1:7" x14ac:dyDescent="0.3">
      <c r="A84" s="18" t="s">
        <v>50</v>
      </c>
      <c r="B84" s="35">
        <v>0.3</v>
      </c>
      <c r="C84" s="79">
        <v>0.3</v>
      </c>
      <c r="D84" s="35"/>
      <c r="E84" s="35"/>
      <c r="F84" s="35"/>
      <c r="G84" s="35"/>
    </row>
    <row r="85" spans="1:7" x14ac:dyDescent="0.3">
      <c r="A85" s="19" t="s">
        <v>11</v>
      </c>
      <c r="B85" s="35">
        <v>1</v>
      </c>
      <c r="C85" s="79">
        <v>1</v>
      </c>
      <c r="D85" s="35"/>
      <c r="E85" s="35"/>
      <c r="F85" s="35"/>
      <c r="G85" s="35"/>
    </row>
    <row r="86" spans="1:7" x14ac:dyDescent="0.3">
      <c r="A86" s="18" t="s">
        <v>54</v>
      </c>
      <c r="B86" s="35">
        <v>1</v>
      </c>
      <c r="C86" s="35">
        <f>B86*48</f>
        <v>48</v>
      </c>
      <c r="D86" s="35">
        <f>12.7%*C86</f>
        <v>6.0960000000000001</v>
      </c>
      <c r="E86" s="35">
        <f>11.5%*C86</f>
        <v>5.5200000000000005</v>
      </c>
      <c r="F86" s="35"/>
      <c r="G86" s="35">
        <f>4*(D86+F86)+9*E86</f>
        <v>74.064000000000007</v>
      </c>
    </row>
    <row r="87" spans="1:7" x14ac:dyDescent="0.3">
      <c r="A87" s="17" t="s">
        <v>13</v>
      </c>
      <c r="B87" s="139">
        <v>120</v>
      </c>
      <c r="C87" s="140"/>
      <c r="D87" s="38">
        <f>SUM(D81:D86)</f>
        <v>38.635999999999996</v>
      </c>
      <c r="E87" s="38">
        <f>SUM(E81:E86)</f>
        <v>13.237000000000002</v>
      </c>
      <c r="F87" s="38">
        <f>SUM(F81:F86)</f>
        <v>5.9660000000000002</v>
      </c>
      <c r="G87" s="38">
        <f>SUM(G81:G86)</f>
        <v>297.54100000000005</v>
      </c>
    </row>
    <row r="90" spans="1:7" x14ac:dyDescent="0.3">
      <c r="A90" s="16" t="s">
        <v>101</v>
      </c>
      <c r="B90" s="57"/>
      <c r="C90" s="57"/>
      <c r="D90" s="57"/>
      <c r="E90" s="57"/>
      <c r="F90" s="57"/>
      <c r="G90" s="57"/>
    </row>
    <row r="91" spans="1:7" ht="36" customHeight="1" x14ac:dyDescent="0.3">
      <c r="A91" s="126" t="s">
        <v>0</v>
      </c>
      <c r="B91" s="126" t="s">
        <v>1</v>
      </c>
      <c r="C91" s="126"/>
      <c r="D91" s="138" t="s">
        <v>2</v>
      </c>
      <c r="E91" s="138" t="s">
        <v>3</v>
      </c>
      <c r="F91" s="126" t="s">
        <v>30</v>
      </c>
      <c r="G91" s="17" t="s">
        <v>5</v>
      </c>
    </row>
    <row r="92" spans="1:7" x14ac:dyDescent="0.3">
      <c r="A92" s="126"/>
      <c r="B92" s="17" t="s">
        <v>6</v>
      </c>
      <c r="C92" s="17" t="s">
        <v>7</v>
      </c>
      <c r="D92" s="131"/>
      <c r="E92" s="131"/>
      <c r="F92" s="126"/>
      <c r="G92" s="17" t="s">
        <v>8</v>
      </c>
    </row>
    <row r="93" spans="1:7" x14ac:dyDescent="0.3">
      <c r="A93" s="19" t="s">
        <v>102</v>
      </c>
      <c r="B93" s="35">
        <v>70</v>
      </c>
      <c r="C93" s="35">
        <f>B93*100%</f>
        <v>70</v>
      </c>
      <c r="D93" s="35">
        <f>9.09%*C93</f>
        <v>6.3629999999999995</v>
      </c>
      <c r="E93" s="35">
        <f>0.9%*C93</f>
        <v>0.63000000000000012</v>
      </c>
      <c r="F93" s="35">
        <f>63.6%*C93</f>
        <v>44.52</v>
      </c>
      <c r="G93" s="35">
        <f>4*(D93+F93)+9*E93</f>
        <v>209.202</v>
      </c>
    </row>
    <row r="94" spans="1:7" x14ac:dyDescent="0.3">
      <c r="A94" s="19" t="s">
        <v>9</v>
      </c>
      <c r="B94" s="35">
        <v>5</v>
      </c>
      <c r="C94" s="35">
        <f>100%*B94</f>
        <v>5</v>
      </c>
      <c r="D94" s="35">
        <f>0.5%*C94</f>
        <v>2.5000000000000001E-2</v>
      </c>
      <c r="E94" s="35">
        <f>82.5%*C94</f>
        <v>4.125</v>
      </c>
      <c r="F94" s="35">
        <f>0.8%*C94</f>
        <v>0.04</v>
      </c>
      <c r="G94" s="35">
        <f>4*(D94+F94)+9*E94</f>
        <v>37.384999999999998</v>
      </c>
    </row>
    <row r="95" spans="1:7" x14ac:dyDescent="0.3">
      <c r="A95" s="19" t="s">
        <v>11</v>
      </c>
      <c r="B95" s="35">
        <v>1</v>
      </c>
      <c r="C95" s="35">
        <f>100%*B95</f>
        <v>1</v>
      </c>
      <c r="D95" s="35"/>
      <c r="E95" s="35"/>
      <c r="F95" s="35"/>
      <c r="G95" s="35">
        <f>4*(D95+F95)+9*E95</f>
        <v>0</v>
      </c>
    </row>
    <row r="96" spans="1:7" x14ac:dyDescent="0.3">
      <c r="A96" s="17" t="s">
        <v>13</v>
      </c>
      <c r="B96" s="134">
        <v>200</v>
      </c>
      <c r="C96" s="135"/>
      <c r="D96" s="38">
        <f>SUM(D93:D95)</f>
        <v>6.3879999999999999</v>
      </c>
      <c r="E96" s="38">
        <f>SUM(E93:E95)</f>
        <v>4.7549999999999999</v>
      </c>
      <c r="F96" s="38">
        <f>SUM(F93:F95)</f>
        <v>44.56</v>
      </c>
      <c r="G96" s="38">
        <f>SUM(G93:G95)</f>
        <v>246.58699999999999</v>
      </c>
    </row>
    <row r="97" spans="1:7" x14ac:dyDescent="0.3">
      <c r="A97" s="45"/>
      <c r="B97" s="45"/>
      <c r="C97" s="45"/>
      <c r="D97" s="53"/>
      <c r="E97" s="53"/>
      <c r="F97" s="53"/>
      <c r="G97" s="53"/>
    </row>
    <row r="98" spans="1:7" x14ac:dyDescent="0.3">
      <c r="A98" s="16" t="s">
        <v>91</v>
      </c>
      <c r="B98" s="57"/>
      <c r="C98" s="57"/>
      <c r="D98" s="57"/>
      <c r="E98" s="57"/>
      <c r="F98" s="57"/>
      <c r="G98" s="57"/>
    </row>
    <row r="99" spans="1:7" ht="36" customHeight="1" x14ac:dyDescent="0.3">
      <c r="A99" s="126" t="s">
        <v>0</v>
      </c>
      <c r="B99" s="126" t="s">
        <v>1</v>
      </c>
      <c r="C99" s="126"/>
      <c r="D99" s="138" t="s">
        <v>2</v>
      </c>
      <c r="E99" s="138" t="s">
        <v>3</v>
      </c>
      <c r="F99" s="126" t="s">
        <v>30</v>
      </c>
      <c r="G99" s="17" t="s">
        <v>5</v>
      </c>
    </row>
    <row r="100" spans="1:7" x14ac:dyDescent="0.3">
      <c r="A100" s="126"/>
      <c r="B100" s="17" t="s">
        <v>6</v>
      </c>
      <c r="C100" s="17" t="s">
        <v>7</v>
      </c>
      <c r="D100" s="131"/>
      <c r="E100" s="131"/>
      <c r="F100" s="126"/>
      <c r="G100" s="17" t="s">
        <v>8</v>
      </c>
    </row>
    <row r="101" spans="1:7" x14ac:dyDescent="0.3">
      <c r="A101" s="19" t="s">
        <v>91</v>
      </c>
      <c r="B101" s="35">
        <v>30</v>
      </c>
      <c r="C101" s="35">
        <f>100%*B101</f>
        <v>30</v>
      </c>
      <c r="D101" s="35"/>
      <c r="E101" s="35"/>
      <c r="F101" s="35"/>
      <c r="G101" s="35"/>
    </row>
    <row r="102" spans="1:7" ht="17.25" customHeight="1" x14ac:dyDescent="0.3"/>
    <row r="103" spans="1:7" x14ac:dyDescent="0.3">
      <c r="A103" s="45"/>
      <c r="B103" s="45"/>
      <c r="C103" s="45"/>
      <c r="D103" s="53"/>
      <c r="E103" s="53"/>
      <c r="F103" s="53"/>
      <c r="G103" s="53"/>
    </row>
    <row r="104" spans="1:7" ht="36" customHeight="1" x14ac:dyDescent="0.3">
      <c r="A104" s="126" t="s">
        <v>0</v>
      </c>
      <c r="B104" s="126" t="s">
        <v>1</v>
      </c>
      <c r="C104" s="126"/>
      <c r="D104" s="138" t="s">
        <v>2</v>
      </c>
      <c r="E104" s="138" t="s">
        <v>3</v>
      </c>
      <c r="F104" s="126" t="s">
        <v>30</v>
      </c>
      <c r="G104" s="17" t="s">
        <v>5</v>
      </c>
    </row>
    <row r="105" spans="1:7" x14ac:dyDescent="0.3">
      <c r="A105" s="126"/>
      <c r="B105" s="17" t="s">
        <v>6</v>
      </c>
      <c r="C105" s="17" t="s">
        <v>7</v>
      </c>
      <c r="D105" s="131"/>
      <c r="E105" s="131"/>
      <c r="F105" s="126"/>
      <c r="G105" s="17" t="s">
        <v>8</v>
      </c>
    </row>
    <row r="106" spans="1:7" x14ac:dyDescent="0.3">
      <c r="A106" s="19" t="s">
        <v>63</v>
      </c>
      <c r="B106" s="35">
        <v>50</v>
      </c>
      <c r="C106" s="35">
        <f>80%*B106</f>
        <v>40</v>
      </c>
      <c r="D106" s="35">
        <f>17.9%*C106</f>
        <v>7.16</v>
      </c>
      <c r="E106" s="35">
        <f>14.3%*C106</f>
        <v>5.7200000000000006</v>
      </c>
      <c r="F106" s="35"/>
      <c r="G106" s="35">
        <f>4*(D106+F106)+9*E106</f>
        <v>80.12</v>
      </c>
    </row>
    <row r="107" spans="1:7" x14ac:dyDescent="0.3">
      <c r="A107" s="31" t="s">
        <v>97</v>
      </c>
      <c r="B107" s="38">
        <v>250</v>
      </c>
      <c r="C107" s="38">
        <f>B107*100%</f>
        <v>250</v>
      </c>
      <c r="D107" s="38">
        <f>C107*7.9%</f>
        <v>19.75</v>
      </c>
      <c r="E107" s="38">
        <f>C107*1%</f>
        <v>2.5</v>
      </c>
      <c r="F107" s="38">
        <f>C107*49.6%</f>
        <v>124</v>
      </c>
      <c r="G107" s="38">
        <f>4*(D107+F107)+9*E107</f>
        <v>597.5</v>
      </c>
    </row>
    <row r="108" spans="1:7" x14ac:dyDescent="0.3">
      <c r="A108" s="45"/>
      <c r="B108" s="45"/>
      <c r="C108" s="45"/>
      <c r="D108" s="53"/>
      <c r="E108" s="53"/>
      <c r="F108" s="53"/>
      <c r="G108" s="53"/>
    </row>
    <row r="109" spans="1:7" x14ac:dyDescent="0.3">
      <c r="A109" s="27"/>
      <c r="B109" s="53"/>
      <c r="C109" s="53"/>
      <c r="D109" s="53"/>
      <c r="E109" s="53"/>
      <c r="F109" s="53"/>
      <c r="G109" s="53"/>
    </row>
    <row r="111" spans="1:7" x14ac:dyDescent="0.3">
      <c r="A111" s="25" t="s">
        <v>136</v>
      </c>
      <c r="B111" s="154">
        <f>C107+C106+C101+B96+B87</f>
        <v>640</v>
      </c>
      <c r="C111" s="154"/>
      <c r="D111" s="52">
        <f>D107+D106+D101+D96+D87</f>
        <v>71.933999999999997</v>
      </c>
      <c r="E111" s="52">
        <f>E107+E106+E101+E96+E87</f>
        <v>26.212000000000003</v>
      </c>
      <c r="F111" s="52">
        <f>F107+F106+F101+F96+F87</f>
        <v>174.52600000000001</v>
      </c>
      <c r="G111" s="52">
        <f>G107+G106+G101+G96+G87</f>
        <v>1221.748</v>
      </c>
    </row>
    <row r="114" spans="1:7" x14ac:dyDescent="0.3">
      <c r="A114" s="25" t="s">
        <v>111</v>
      </c>
      <c r="B114" s="156">
        <f>B111+B73+B21</f>
        <v>2040</v>
      </c>
      <c r="C114" s="156"/>
      <c r="D114" s="58">
        <f>D111+D73+D21</f>
        <v>160.67704000000003</v>
      </c>
      <c r="E114" s="58">
        <f>E111+E73+E21</f>
        <v>81.110500000000002</v>
      </c>
      <c r="F114" s="58">
        <f>F111+F73+F21</f>
        <v>428.43799999999999</v>
      </c>
      <c r="G114" s="58">
        <f>G111+G73+G21</f>
        <v>3086.4546600000003</v>
      </c>
    </row>
    <row r="116" spans="1:7" x14ac:dyDescent="0.3">
      <c r="A116" s="42"/>
      <c r="G116" s="94"/>
    </row>
  </sheetData>
  <mergeCells count="64">
    <mergeCell ref="A38:G38"/>
    <mergeCell ref="F26:F27"/>
    <mergeCell ref="B21:C21"/>
    <mergeCell ref="A104:A105"/>
    <mergeCell ref="D104:D105"/>
    <mergeCell ref="E104:E105"/>
    <mergeCell ref="F104:F105"/>
    <mergeCell ref="A25:C25"/>
    <mergeCell ref="F91:F92"/>
    <mergeCell ref="A99:A100"/>
    <mergeCell ref="D99:D100"/>
    <mergeCell ref="E99:E100"/>
    <mergeCell ref="F99:F100"/>
    <mergeCell ref="A91:A92"/>
    <mergeCell ref="D91:D92"/>
    <mergeCell ref="E91:E92"/>
    <mergeCell ref="B34:C34"/>
    <mergeCell ref="D79:D80"/>
    <mergeCell ref="E79:E80"/>
    <mergeCell ref="F79:F80"/>
    <mergeCell ref="F39:F40"/>
    <mergeCell ref="B49:C49"/>
    <mergeCell ref="A52:G52"/>
    <mergeCell ref="A53:A54"/>
    <mergeCell ref="D53:D54"/>
    <mergeCell ref="E53:E54"/>
    <mergeCell ref="F53:F54"/>
    <mergeCell ref="A39:A40"/>
    <mergeCell ref="B53:C53"/>
    <mergeCell ref="B39:C39"/>
    <mergeCell ref="D39:D40"/>
    <mergeCell ref="E39:E40"/>
    <mergeCell ref="B114:C114"/>
    <mergeCell ref="B99:C99"/>
    <mergeCell ref="B104:C104"/>
    <mergeCell ref="A1:G1"/>
    <mergeCell ref="A2:G3"/>
    <mergeCell ref="B62:C62"/>
    <mergeCell ref="B73:C73"/>
    <mergeCell ref="B111:C111"/>
    <mergeCell ref="B96:C96"/>
    <mergeCell ref="B91:C91"/>
    <mergeCell ref="B87:C87"/>
    <mergeCell ref="B19:C19"/>
    <mergeCell ref="A78:G78"/>
    <mergeCell ref="A79:A80"/>
    <mergeCell ref="B79:C79"/>
    <mergeCell ref="D15:D16"/>
    <mergeCell ref="B68:C68"/>
    <mergeCell ref="A14:G14"/>
    <mergeCell ref="A15:A16"/>
    <mergeCell ref="B15:C15"/>
    <mergeCell ref="A63:G63"/>
    <mergeCell ref="A64:A65"/>
    <mergeCell ref="B64:C64"/>
    <mergeCell ref="D64:D65"/>
    <mergeCell ref="E64:E65"/>
    <mergeCell ref="F64:F65"/>
    <mergeCell ref="E15:E16"/>
    <mergeCell ref="F15:F16"/>
    <mergeCell ref="A26:A27"/>
    <mergeCell ref="B26:C26"/>
    <mergeCell ref="D26:D27"/>
    <mergeCell ref="E26:E27"/>
  </mergeCells>
  <pageMargins left="0.7" right="0.7" top="0.75" bottom="0.75" header="0.3" footer="0.3"/>
  <pageSetup scale="7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zoomScaleNormal="100" zoomScaleSheetLayoutView="98" workbookViewId="0">
      <selection activeCell="A2" sqref="A2:G3"/>
    </sheetView>
  </sheetViews>
  <sheetFormatPr defaultRowHeight="15" x14ac:dyDescent="0.3"/>
  <cols>
    <col min="1" max="1" width="15.7109375" style="2" customWidth="1"/>
    <col min="2" max="6" width="15.7109375" style="1" customWidth="1"/>
    <col min="7" max="7" width="16.5703125" style="1" customWidth="1"/>
    <col min="8" max="256" width="9.140625" style="1"/>
    <col min="257" max="257" width="34.85546875" style="1" bestFit="1" customWidth="1"/>
    <col min="258" max="258" width="12" style="1" customWidth="1"/>
    <col min="259" max="259" width="12.5703125" style="1" customWidth="1"/>
    <col min="260" max="260" width="12.28515625" style="1" customWidth="1"/>
    <col min="261" max="261" width="11.28515625" style="1" customWidth="1"/>
    <col min="262" max="262" width="16.140625" style="1" customWidth="1"/>
    <col min="263" max="263" width="20.42578125" style="1" customWidth="1"/>
    <col min="264" max="512" width="9.140625" style="1"/>
    <col min="513" max="513" width="34.85546875" style="1" bestFit="1" customWidth="1"/>
    <col min="514" max="514" width="12" style="1" customWidth="1"/>
    <col min="515" max="515" width="12.5703125" style="1" customWidth="1"/>
    <col min="516" max="516" width="12.28515625" style="1" customWidth="1"/>
    <col min="517" max="517" width="11.28515625" style="1" customWidth="1"/>
    <col min="518" max="518" width="16.140625" style="1" customWidth="1"/>
    <col min="519" max="519" width="20.42578125" style="1" customWidth="1"/>
    <col min="520" max="768" width="9.140625" style="1"/>
    <col min="769" max="769" width="34.85546875" style="1" bestFit="1" customWidth="1"/>
    <col min="770" max="770" width="12" style="1" customWidth="1"/>
    <col min="771" max="771" width="12.5703125" style="1" customWidth="1"/>
    <col min="772" max="772" width="12.28515625" style="1" customWidth="1"/>
    <col min="773" max="773" width="11.28515625" style="1" customWidth="1"/>
    <col min="774" max="774" width="16.140625" style="1" customWidth="1"/>
    <col min="775" max="775" width="20.42578125" style="1" customWidth="1"/>
    <col min="776" max="1024" width="9.140625" style="1"/>
    <col min="1025" max="1025" width="34.85546875" style="1" bestFit="1" customWidth="1"/>
    <col min="1026" max="1026" width="12" style="1" customWidth="1"/>
    <col min="1027" max="1027" width="12.5703125" style="1" customWidth="1"/>
    <col min="1028" max="1028" width="12.28515625" style="1" customWidth="1"/>
    <col min="1029" max="1029" width="11.28515625" style="1" customWidth="1"/>
    <col min="1030" max="1030" width="16.140625" style="1" customWidth="1"/>
    <col min="1031" max="1031" width="20.42578125" style="1" customWidth="1"/>
    <col min="1032" max="1280" width="9.140625" style="1"/>
    <col min="1281" max="1281" width="34.85546875" style="1" bestFit="1" customWidth="1"/>
    <col min="1282" max="1282" width="12" style="1" customWidth="1"/>
    <col min="1283" max="1283" width="12.5703125" style="1" customWidth="1"/>
    <col min="1284" max="1284" width="12.28515625" style="1" customWidth="1"/>
    <col min="1285" max="1285" width="11.28515625" style="1" customWidth="1"/>
    <col min="1286" max="1286" width="16.140625" style="1" customWidth="1"/>
    <col min="1287" max="1287" width="20.42578125" style="1" customWidth="1"/>
    <col min="1288" max="1536" width="9.140625" style="1"/>
    <col min="1537" max="1537" width="34.85546875" style="1" bestFit="1" customWidth="1"/>
    <col min="1538" max="1538" width="12" style="1" customWidth="1"/>
    <col min="1539" max="1539" width="12.5703125" style="1" customWidth="1"/>
    <col min="1540" max="1540" width="12.28515625" style="1" customWidth="1"/>
    <col min="1541" max="1541" width="11.28515625" style="1" customWidth="1"/>
    <col min="1542" max="1542" width="16.140625" style="1" customWidth="1"/>
    <col min="1543" max="1543" width="20.42578125" style="1" customWidth="1"/>
    <col min="1544" max="1792" width="9.140625" style="1"/>
    <col min="1793" max="1793" width="34.85546875" style="1" bestFit="1" customWidth="1"/>
    <col min="1794" max="1794" width="12" style="1" customWidth="1"/>
    <col min="1795" max="1795" width="12.5703125" style="1" customWidth="1"/>
    <col min="1796" max="1796" width="12.28515625" style="1" customWidth="1"/>
    <col min="1797" max="1797" width="11.28515625" style="1" customWidth="1"/>
    <col min="1798" max="1798" width="16.140625" style="1" customWidth="1"/>
    <col min="1799" max="1799" width="20.42578125" style="1" customWidth="1"/>
    <col min="1800" max="2048" width="9.140625" style="1"/>
    <col min="2049" max="2049" width="34.85546875" style="1" bestFit="1" customWidth="1"/>
    <col min="2050" max="2050" width="12" style="1" customWidth="1"/>
    <col min="2051" max="2051" width="12.5703125" style="1" customWidth="1"/>
    <col min="2052" max="2052" width="12.28515625" style="1" customWidth="1"/>
    <col min="2053" max="2053" width="11.28515625" style="1" customWidth="1"/>
    <col min="2054" max="2054" width="16.140625" style="1" customWidth="1"/>
    <col min="2055" max="2055" width="20.42578125" style="1" customWidth="1"/>
    <col min="2056" max="2304" width="9.140625" style="1"/>
    <col min="2305" max="2305" width="34.85546875" style="1" bestFit="1" customWidth="1"/>
    <col min="2306" max="2306" width="12" style="1" customWidth="1"/>
    <col min="2307" max="2307" width="12.5703125" style="1" customWidth="1"/>
    <col min="2308" max="2308" width="12.28515625" style="1" customWidth="1"/>
    <col min="2309" max="2309" width="11.28515625" style="1" customWidth="1"/>
    <col min="2310" max="2310" width="16.140625" style="1" customWidth="1"/>
    <col min="2311" max="2311" width="20.42578125" style="1" customWidth="1"/>
    <col min="2312" max="2560" width="9.140625" style="1"/>
    <col min="2561" max="2561" width="34.85546875" style="1" bestFit="1" customWidth="1"/>
    <col min="2562" max="2562" width="12" style="1" customWidth="1"/>
    <col min="2563" max="2563" width="12.5703125" style="1" customWidth="1"/>
    <col min="2564" max="2564" width="12.28515625" style="1" customWidth="1"/>
    <col min="2565" max="2565" width="11.28515625" style="1" customWidth="1"/>
    <col min="2566" max="2566" width="16.140625" style="1" customWidth="1"/>
    <col min="2567" max="2567" width="20.42578125" style="1" customWidth="1"/>
    <col min="2568" max="2816" width="9.140625" style="1"/>
    <col min="2817" max="2817" width="34.85546875" style="1" bestFit="1" customWidth="1"/>
    <col min="2818" max="2818" width="12" style="1" customWidth="1"/>
    <col min="2819" max="2819" width="12.5703125" style="1" customWidth="1"/>
    <col min="2820" max="2820" width="12.28515625" style="1" customWidth="1"/>
    <col min="2821" max="2821" width="11.28515625" style="1" customWidth="1"/>
    <col min="2822" max="2822" width="16.140625" style="1" customWidth="1"/>
    <col min="2823" max="2823" width="20.42578125" style="1" customWidth="1"/>
    <col min="2824" max="3072" width="9.140625" style="1"/>
    <col min="3073" max="3073" width="34.85546875" style="1" bestFit="1" customWidth="1"/>
    <col min="3074" max="3074" width="12" style="1" customWidth="1"/>
    <col min="3075" max="3075" width="12.5703125" style="1" customWidth="1"/>
    <col min="3076" max="3076" width="12.28515625" style="1" customWidth="1"/>
    <col min="3077" max="3077" width="11.28515625" style="1" customWidth="1"/>
    <col min="3078" max="3078" width="16.140625" style="1" customWidth="1"/>
    <col min="3079" max="3079" width="20.42578125" style="1" customWidth="1"/>
    <col min="3080" max="3328" width="9.140625" style="1"/>
    <col min="3329" max="3329" width="34.85546875" style="1" bestFit="1" customWidth="1"/>
    <col min="3330" max="3330" width="12" style="1" customWidth="1"/>
    <col min="3331" max="3331" width="12.5703125" style="1" customWidth="1"/>
    <col min="3332" max="3332" width="12.28515625" style="1" customWidth="1"/>
    <col min="3333" max="3333" width="11.28515625" style="1" customWidth="1"/>
    <col min="3334" max="3334" width="16.140625" style="1" customWidth="1"/>
    <col min="3335" max="3335" width="20.42578125" style="1" customWidth="1"/>
    <col min="3336" max="3584" width="9.140625" style="1"/>
    <col min="3585" max="3585" width="34.85546875" style="1" bestFit="1" customWidth="1"/>
    <col min="3586" max="3586" width="12" style="1" customWidth="1"/>
    <col min="3587" max="3587" width="12.5703125" style="1" customWidth="1"/>
    <col min="3588" max="3588" width="12.28515625" style="1" customWidth="1"/>
    <col min="3589" max="3589" width="11.28515625" style="1" customWidth="1"/>
    <col min="3590" max="3590" width="16.140625" style="1" customWidth="1"/>
    <col min="3591" max="3591" width="20.42578125" style="1" customWidth="1"/>
    <col min="3592" max="3840" width="9.140625" style="1"/>
    <col min="3841" max="3841" width="34.85546875" style="1" bestFit="1" customWidth="1"/>
    <col min="3842" max="3842" width="12" style="1" customWidth="1"/>
    <col min="3843" max="3843" width="12.5703125" style="1" customWidth="1"/>
    <col min="3844" max="3844" width="12.28515625" style="1" customWidth="1"/>
    <col min="3845" max="3845" width="11.28515625" style="1" customWidth="1"/>
    <col min="3846" max="3846" width="16.140625" style="1" customWidth="1"/>
    <col min="3847" max="3847" width="20.42578125" style="1" customWidth="1"/>
    <col min="3848" max="4096" width="9.140625" style="1"/>
    <col min="4097" max="4097" width="34.85546875" style="1" bestFit="1" customWidth="1"/>
    <col min="4098" max="4098" width="12" style="1" customWidth="1"/>
    <col min="4099" max="4099" width="12.5703125" style="1" customWidth="1"/>
    <col min="4100" max="4100" width="12.28515625" style="1" customWidth="1"/>
    <col min="4101" max="4101" width="11.28515625" style="1" customWidth="1"/>
    <col min="4102" max="4102" width="16.140625" style="1" customWidth="1"/>
    <col min="4103" max="4103" width="20.42578125" style="1" customWidth="1"/>
    <col min="4104" max="4352" width="9.140625" style="1"/>
    <col min="4353" max="4353" width="34.85546875" style="1" bestFit="1" customWidth="1"/>
    <col min="4354" max="4354" width="12" style="1" customWidth="1"/>
    <col min="4355" max="4355" width="12.5703125" style="1" customWidth="1"/>
    <col min="4356" max="4356" width="12.28515625" style="1" customWidth="1"/>
    <col min="4357" max="4357" width="11.28515625" style="1" customWidth="1"/>
    <col min="4358" max="4358" width="16.140625" style="1" customWidth="1"/>
    <col min="4359" max="4359" width="20.42578125" style="1" customWidth="1"/>
    <col min="4360" max="4608" width="9.140625" style="1"/>
    <col min="4609" max="4609" width="34.85546875" style="1" bestFit="1" customWidth="1"/>
    <col min="4610" max="4610" width="12" style="1" customWidth="1"/>
    <col min="4611" max="4611" width="12.5703125" style="1" customWidth="1"/>
    <col min="4612" max="4612" width="12.28515625" style="1" customWidth="1"/>
    <col min="4613" max="4613" width="11.28515625" style="1" customWidth="1"/>
    <col min="4614" max="4614" width="16.140625" style="1" customWidth="1"/>
    <col min="4615" max="4615" width="20.42578125" style="1" customWidth="1"/>
    <col min="4616" max="4864" width="9.140625" style="1"/>
    <col min="4865" max="4865" width="34.85546875" style="1" bestFit="1" customWidth="1"/>
    <col min="4866" max="4866" width="12" style="1" customWidth="1"/>
    <col min="4867" max="4867" width="12.5703125" style="1" customWidth="1"/>
    <col min="4868" max="4868" width="12.28515625" style="1" customWidth="1"/>
    <col min="4869" max="4869" width="11.28515625" style="1" customWidth="1"/>
    <col min="4870" max="4870" width="16.140625" style="1" customWidth="1"/>
    <col min="4871" max="4871" width="20.42578125" style="1" customWidth="1"/>
    <col min="4872" max="5120" width="9.140625" style="1"/>
    <col min="5121" max="5121" width="34.85546875" style="1" bestFit="1" customWidth="1"/>
    <col min="5122" max="5122" width="12" style="1" customWidth="1"/>
    <col min="5123" max="5123" width="12.5703125" style="1" customWidth="1"/>
    <col min="5124" max="5124" width="12.28515625" style="1" customWidth="1"/>
    <col min="5125" max="5125" width="11.28515625" style="1" customWidth="1"/>
    <col min="5126" max="5126" width="16.140625" style="1" customWidth="1"/>
    <col min="5127" max="5127" width="20.42578125" style="1" customWidth="1"/>
    <col min="5128" max="5376" width="9.140625" style="1"/>
    <col min="5377" max="5377" width="34.85546875" style="1" bestFit="1" customWidth="1"/>
    <col min="5378" max="5378" width="12" style="1" customWidth="1"/>
    <col min="5379" max="5379" width="12.5703125" style="1" customWidth="1"/>
    <col min="5380" max="5380" width="12.28515625" style="1" customWidth="1"/>
    <col min="5381" max="5381" width="11.28515625" style="1" customWidth="1"/>
    <col min="5382" max="5382" width="16.140625" style="1" customWidth="1"/>
    <col min="5383" max="5383" width="20.42578125" style="1" customWidth="1"/>
    <col min="5384" max="5632" width="9.140625" style="1"/>
    <col min="5633" max="5633" width="34.85546875" style="1" bestFit="1" customWidth="1"/>
    <col min="5634" max="5634" width="12" style="1" customWidth="1"/>
    <col min="5635" max="5635" width="12.5703125" style="1" customWidth="1"/>
    <col min="5636" max="5636" width="12.28515625" style="1" customWidth="1"/>
    <col min="5637" max="5637" width="11.28515625" style="1" customWidth="1"/>
    <col min="5638" max="5638" width="16.140625" style="1" customWidth="1"/>
    <col min="5639" max="5639" width="20.42578125" style="1" customWidth="1"/>
    <col min="5640" max="5888" width="9.140625" style="1"/>
    <col min="5889" max="5889" width="34.85546875" style="1" bestFit="1" customWidth="1"/>
    <col min="5890" max="5890" width="12" style="1" customWidth="1"/>
    <col min="5891" max="5891" width="12.5703125" style="1" customWidth="1"/>
    <col min="5892" max="5892" width="12.28515625" style="1" customWidth="1"/>
    <col min="5893" max="5893" width="11.28515625" style="1" customWidth="1"/>
    <col min="5894" max="5894" width="16.140625" style="1" customWidth="1"/>
    <col min="5895" max="5895" width="20.42578125" style="1" customWidth="1"/>
    <col min="5896" max="6144" width="9.140625" style="1"/>
    <col min="6145" max="6145" width="34.85546875" style="1" bestFit="1" customWidth="1"/>
    <col min="6146" max="6146" width="12" style="1" customWidth="1"/>
    <col min="6147" max="6147" width="12.5703125" style="1" customWidth="1"/>
    <col min="6148" max="6148" width="12.28515625" style="1" customWidth="1"/>
    <col min="6149" max="6149" width="11.28515625" style="1" customWidth="1"/>
    <col min="6150" max="6150" width="16.140625" style="1" customWidth="1"/>
    <col min="6151" max="6151" width="20.42578125" style="1" customWidth="1"/>
    <col min="6152" max="6400" width="9.140625" style="1"/>
    <col min="6401" max="6401" width="34.85546875" style="1" bestFit="1" customWidth="1"/>
    <col min="6402" max="6402" width="12" style="1" customWidth="1"/>
    <col min="6403" max="6403" width="12.5703125" style="1" customWidth="1"/>
    <col min="6404" max="6404" width="12.28515625" style="1" customWidth="1"/>
    <col min="6405" max="6405" width="11.28515625" style="1" customWidth="1"/>
    <col min="6406" max="6406" width="16.140625" style="1" customWidth="1"/>
    <col min="6407" max="6407" width="20.42578125" style="1" customWidth="1"/>
    <col min="6408" max="6656" width="9.140625" style="1"/>
    <col min="6657" max="6657" width="34.85546875" style="1" bestFit="1" customWidth="1"/>
    <col min="6658" max="6658" width="12" style="1" customWidth="1"/>
    <col min="6659" max="6659" width="12.5703125" style="1" customWidth="1"/>
    <col min="6660" max="6660" width="12.28515625" style="1" customWidth="1"/>
    <col min="6661" max="6661" width="11.28515625" style="1" customWidth="1"/>
    <col min="6662" max="6662" width="16.140625" style="1" customWidth="1"/>
    <col min="6663" max="6663" width="20.42578125" style="1" customWidth="1"/>
    <col min="6664" max="6912" width="9.140625" style="1"/>
    <col min="6913" max="6913" width="34.85546875" style="1" bestFit="1" customWidth="1"/>
    <col min="6914" max="6914" width="12" style="1" customWidth="1"/>
    <col min="6915" max="6915" width="12.5703125" style="1" customWidth="1"/>
    <col min="6916" max="6916" width="12.28515625" style="1" customWidth="1"/>
    <col min="6917" max="6917" width="11.28515625" style="1" customWidth="1"/>
    <col min="6918" max="6918" width="16.140625" style="1" customWidth="1"/>
    <col min="6919" max="6919" width="20.42578125" style="1" customWidth="1"/>
    <col min="6920" max="7168" width="9.140625" style="1"/>
    <col min="7169" max="7169" width="34.85546875" style="1" bestFit="1" customWidth="1"/>
    <col min="7170" max="7170" width="12" style="1" customWidth="1"/>
    <col min="7171" max="7171" width="12.5703125" style="1" customWidth="1"/>
    <col min="7172" max="7172" width="12.28515625" style="1" customWidth="1"/>
    <col min="7173" max="7173" width="11.28515625" style="1" customWidth="1"/>
    <col min="7174" max="7174" width="16.140625" style="1" customWidth="1"/>
    <col min="7175" max="7175" width="20.42578125" style="1" customWidth="1"/>
    <col min="7176" max="7424" width="9.140625" style="1"/>
    <col min="7425" max="7425" width="34.85546875" style="1" bestFit="1" customWidth="1"/>
    <col min="7426" max="7426" width="12" style="1" customWidth="1"/>
    <col min="7427" max="7427" width="12.5703125" style="1" customWidth="1"/>
    <col min="7428" max="7428" width="12.28515625" style="1" customWidth="1"/>
    <col min="7429" max="7429" width="11.28515625" style="1" customWidth="1"/>
    <col min="7430" max="7430" width="16.140625" style="1" customWidth="1"/>
    <col min="7431" max="7431" width="20.42578125" style="1" customWidth="1"/>
    <col min="7432" max="7680" width="9.140625" style="1"/>
    <col min="7681" max="7681" width="34.85546875" style="1" bestFit="1" customWidth="1"/>
    <col min="7682" max="7682" width="12" style="1" customWidth="1"/>
    <col min="7683" max="7683" width="12.5703125" style="1" customWidth="1"/>
    <col min="7684" max="7684" width="12.28515625" style="1" customWidth="1"/>
    <col min="7685" max="7685" width="11.28515625" style="1" customWidth="1"/>
    <col min="7686" max="7686" width="16.140625" style="1" customWidth="1"/>
    <col min="7687" max="7687" width="20.42578125" style="1" customWidth="1"/>
    <col min="7688" max="7936" width="9.140625" style="1"/>
    <col min="7937" max="7937" width="34.85546875" style="1" bestFit="1" customWidth="1"/>
    <col min="7938" max="7938" width="12" style="1" customWidth="1"/>
    <col min="7939" max="7939" width="12.5703125" style="1" customWidth="1"/>
    <col min="7940" max="7940" width="12.28515625" style="1" customWidth="1"/>
    <col min="7941" max="7941" width="11.28515625" style="1" customWidth="1"/>
    <col min="7942" max="7942" width="16.140625" style="1" customWidth="1"/>
    <col min="7943" max="7943" width="20.42578125" style="1" customWidth="1"/>
    <col min="7944" max="8192" width="9.140625" style="1"/>
    <col min="8193" max="8193" width="34.85546875" style="1" bestFit="1" customWidth="1"/>
    <col min="8194" max="8194" width="12" style="1" customWidth="1"/>
    <col min="8195" max="8195" width="12.5703125" style="1" customWidth="1"/>
    <col min="8196" max="8196" width="12.28515625" style="1" customWidth="1"/>
    <col min="8197" max="8197" width="11.28515625" style="1" customWidth="1"/>
    <col min="8198" max="8198" width="16.140625" style="1" customWidth="1"/>
    <col min="8199" max="8199" width="20.42578125" style="1" customWidth="1"/>
    <col min="8200" max="8448" width="9.140625" style="1"/>
    <col min="8449" max="8449" width="34.85546875" style="1" bestFit="1" customWidth="1"/>
    <col min="8450" max="8450" width="12" style="1" customWidth="1"/>
    <col min="8451" max="8451" width="12.5703125" style="1" customWidth="1"/>
    <col min="8452" max="8452" width="12.28515625" style="1" customWidth="1"/>
    <col min="8453" max="8453" width="11.28515625" style="1" customWidth="1"/>
    <col min="8454" max="8454" width="16.140625" style="1" customWidth="1"/>
    <col min="8455" max="8455" width="20.42578125" style="1" customWidth="1"/>
    <col min="8456" max="8704" width="9.140625" style="1"/>
    <col min="8705" max="8705" width="34.85546875" style="1" bestFit="1" customWidth="1"/>
    <col min="8706" max="8706" width="12" style="1" customWidth="1"/>
    <col min="8707" max="8707" width="12.5703125" style="1" customWidth="1"/>
    <col min="8708" max="8708" width="12.28515625" style="1" customWidth="1"/>
    <col min="8709" max="8709" width="11.28515625" style="1" customWidth="1"/>
    <col min="8710" max="8710" width="16.140625" style="1" customWidth="1"/>
    <col min="8711" max="8711" width="20.42578125" style="1" customWidth="1"/>
    <col min="8712" max="8960" width="9.140625" style="1"/>
    <col min="8961" max="8961" width="34.85546875" style="1" bestFit="1" customWidth="1"/>
    <col min="8962" max="8962" width="12" style="1" customWidth="1"/>
    <col min="8963" max="8963" width="12.5703125" style="1" customWidth="1"/>
    <col min="8964" max="8964" width="12.28515625" style="1" customWidth="1"/>
    <col min="8965" max="8965" width="11.28515625" style="1" customWidth="1"/>
    <col min="8966" max="8966" width="16.140625" style="1" customWidth="1"/>
    <col min="8967" max="8967" width="20.42578125" style="1" customWidth="1"/>
    <col min="8968" max="9216" width="9.140625" style="1"/>
    <col min="9217" max="9217" width="34.85546875" style="1" bestFit="1" customWidth="1"/>
    <col min="9218" max="9218" width="12" style="1" customWidth="1"/>
    <col min="9219" max="9219" width="12.5703125" style="1" customWidth="1"/>
    <col min="9220" max="9220" width="12.28515625" style="1" customWidth="1"/>
    <col min="9221" max="9221" width="11.28515625" style="1" customWidth="1"/>
    <col min="9222" max="9222" width="16.140625" style="1" customWidth="1"/>
    <col min="9223" max="9223" width="20.42578125" style="1" customWidth="1"/>
    <col min="9224" max="9472" width="9.140625" style="1"/>
    <col min="9473" max="9473" width="34.85546875" style="1" bestFit="1" customWidth="1"/>
    <col min="9474" max="9474" width="12" style="1" customWidth="1"/>
    <col min="9475" max="9475" width="12.5703125" style="1" customWidth="1"/>
    <col min="9476" max="9476" width="12.28515625" style="1" customWidth="1"/>
    <col min="9477" max="9477" width="11.28515625" style="1" customWidth="1"/>
    <col min="9478" max="9478" width="16.140625" style="1" customWidth="1"/>
    <col min="9479" max="9479" width="20.42578125" style="1" customWidth="1"/>
    <col min="9480" max="9728" width="9.140625" style="1"/>
    <col min="9729" max="9729" width="34.85546875" style="1" bestFit="1" customWidth="1"/>
    <col min="9730" max="9730" width="12" style="1" customWidth="1"/>
    <col min="9731" max="9731" width="12.5703125" style="1" customWidth="1"/>
    <col min="9732" max="9732" width="12.28515625" style="1" customWidth="1"/>
    <col min="9733" max="9733" width="11.28515625" style="1" customWidth="1"/>
    <col min="9734" max="9734" width="16.140625" style="1" customWidth="1"/>
    <col min="9735" max="9735" width="20.42578125" style="1" customWidth="1"/>
    <col min="9736" max="9984" width="9.140625" style="1"/>
    <col min="9985" max="9985" width="34.85546875" style="1" bestFit="1" customWidth="1"/>
    <col min="9986" max="9986" width="12" style="1" customWidth="1"/>
    <col min="9987" max="9987" width="12.5703125" style="1" customWidth="1"/>
    <col min="9988" max="9988" width="12.28515625" style="1" customWidth="1"/>
    <col min="9989" max="9989" width="11.28515625" style="1" customWidth="1"/>
    <col min="9990" max="9990" width="16.140625" style="1" customWidth="1"/>
    <col min="9991" max="9991" width="20.42578125" style="1" customWidth="1"/>
    <col min="9992" max="10240" width="9.140625" style="1"/>
    <col min="10241" max="10241" width="34.85546875" style="1" bestFit="1" customWidth="1"/>
    <col min="10242" max="10242" width="12" style="1" customWidth="1"/>
    <col min="10243" max="10243" width="12.5703125" style="1" customWidth="1"/>
    <col min="10244" max="10244" width="12.28515625" style="1" customWidth="1"/>
    <col min="10245" max="10245" width="11.28515625" style="1" customWidth="1"/>
    <col min="10246" max="10246" width="16.140625" style="1" customWidth="1"/>
    <col min="10247" max="10247" width="20.42578125" style="1" customWidth="1"/>
    <col min="10248" max="10496" width="9.140625" style="1"/>
    <col min="10497" max="10497" width="34.85546875" style="1" bestFit="1" customWidth="1"/>
    <col min="10498" max="10498" width="12" style="1" customWidth="1"/>
    <col min="10499" max="10499" width="12.5703125" style="1" customWidth="1"/>
    <col min="10500" max="10500" width="12.28515625" style="1" customWidth="1"/>
    <col min="10501" max="10501" width="11.28515625" style="1" customWidth="1"/>
    <col min="10502" max="10502" width="16.140625" style="1" customWidth="1"/>
    <col min="10503" max="10503" width="20.42578125" style="1" customWidth="1"/>
    <col min="10504" max="10752" width="9.140625" style="1"/>
    <col min="10753" max="10753" width="34.85546875" style="1" bestFit="1" customWidth="1"/>
    <col min="10754" max="10754" width="12" style="1" customWidth="1"/>
    <col min="10755" max="10755" width="12.5703125" style="1" customWidth="1"/>
    <col min="10756" max="10756" width="12.28515625" style="1" customWidth="1"/>
    <col min="10757" max="10757" width="11.28515625" style="1" customWidth="1"/>
    <col min="10758" max="10758" width="16.140625" style="1" customWidth="1"/>
    <col min="10759" max="10759" width="20.42578125" style="1" customWidth="1"/>
    <col min="10760" max="11008" width="9.140625" style="1"/>
    <col min="11009" max="11009" width="34.85546875" style="1" bestFit="1" customWidth="1"/>
    <col min="11010" max="11010" width="12" style="1" customWidth="1"/>
    <col min="11011" max="11011" width="12.5703125" style="1" customWidth="1"/>
    <col min="11012" max="11012" width="12.28515625" style="1" customWidth="1"/>
    <col min="11013" max="11013" width="11.28515625" style="1" customWidth="1"/>
    <col min="11014" max="11014" width="16.140625" style="1" customWidth="1"/>
    <col min="11015" max="11015" width="20.42578125" style="1" customWidth="1"/>
    <col min="11016" max="11264" width="9.140625" style="1"/>
    <col min="11265" max="11265" width="34.85546875" style="1" bestFit="1" customWidth="1"/>
    <col min="11266" max="11266" width="12" style="1" customWidth="1"/>
    <col min="11267" max="11267" width="12.5703125" style="1" customWidth="1"/>
    <col min="11268" max="11268" width="12.28515625" style="1" customWidth="1"/>
    <col min="11269" max="11269" width="11.28515625" style="1" customWidth="1"/>
    <col min="11270" max="11270" width="16.140625" style="1" customWidth="1"/>
    <col min="11271" max="11271" width="20.42578125" style="1" customWidth="1"/>
    <col min="11272" max="11520" width="9.140625" style="1"/>
    <col min="11521" max="11521" width="34.85546875" style="1" bestFit="1" customWidth="1"/>
    <col min="11522" max="11522" width="12" style="1" customWidth="1"/>
    <col min="11523" max="11523" width="12.5703125" style="1" customWidth="1"/>
    <col min="11524" max="11524" width="12.28515625" style="1" customWidth="1"/>
    <col min="11525" max="11525" width="11.28515625" style="1" customWidth="1"/>
    <col min="11526" max="11526" width="16.140625" style="1" customWidth="1"/>
    <col min="11527" max="11527" width="20.42578125" style="1" customWidth="1"/>
    <col min="11528" max="11776" width="9.140625" style="1"/>
    <col min="11777" max="11777" width="34.85546875" style="1" bestFit="1" customWidth="1"/>
    <col min="11778" max="11778" width="12" style="1" customWidth="1"/>
    <col min="11779" max="11779" width="12.5703125" style="1" customWidth="1"/>
    <col min="11780" max="11780" width="12.28515625" style="1" customWidth="1"/>
    <col min="11781" max="11781" width="11.28515625" style="1" customWidth="1"/>
    <col min="11782" max="11782" width="16.140625" style="1" customWidth="1"/>
    <col min="11783" max="11783" width="20.42578125" style="1" customWidth="1"/>
    <col min="11784" max="12032" width="9.140625" style="1"/>
    <col min="12033" max="12033" width="34.85546875" style="1" bestFit="1" customWidth="1"/>
    <col min="12034" max="12034" width="12" style="1" customWidth="1"/>
    <col min="12035" max="12035" width="12.5703125" style="1" customWidth="1"/>
    <col min="12036" max="12036" width="12.28515625" style="1" customWidth="1"/>
    <col min="12037" max="12037" width="11.28515625" style="1" customWidth="1"/>
    <col min="12038" max="12038" width="16.140625" style="1" customWidth="1"/>
    <col min="12039" max="12039" width="20.42578125" style="1" customWidth="1"/>
    <col min="12040" max="12288" width="9.140625" style="1"/>
    <col min="12289" max="12289" width="34.85546875" style="1" bestFit="1" customWidth="1"/>
    <col min="12290" max="12290" width="12" style="1" customWidth="1"/>
    <col min="12291" max="12291" width="12.5703125" style="1" customWidth="1"/>
    <col min="12292" max="12292" width="12.28515625" style="1" customWidth="1"/>
    <col min="12293" max="12293" width="11.28515625" style="1" customWidth="1"/>
    <col min="12294" max="12294" width="16.140625" style="1" customWidth="1"/>
    <col min="12295" max="12295" width="20.42578125" style="1" customWidth="1"/>
    <col min="12296" max="12544" width="9.140625" style="1"/>
    <col min="12545" max="12545" width="34.85546875" style="1" bestFit="1" customWidth="1"/>
    <col min="12546" max="12546" width="12" style="1" customWidth="1"/>
    <col min="12547" max="12547" width="12.5703125" style="1" customWidth="1"/>
    <col min="12548" max="12548" width="12.28515625" style="1" customWidth="1"/>
    <col min="12549" max="12549" width="11.28515625" style="1" customWidth="1"/>
    <col min="12550" max="12550" width="16.140625" style="1" customWidth="1"/>
    <col min="12551" max="12551" width="20.42578125" style="1" customWidth="1"/>
    <col min="12552" max="12800" width="9.140625" style="1"/>
    <col min="12801" max="12801" width="34.85546875" style="1" bestFit="1" customWidth="1"/>
    <col min="12802" max="12802" width="12" style="1" customWidth="1"/>
    <col min="12803" max="12803" width="12.5703125" style="1" customWidth="1"/>
    <col min="12804" max="12804" width="12.28515625" style="1" customWidth="1"/>
    <col min="12805" max="12805" width="11.28515625" style="1" customWidth="1"/>
    <col min="12806" max="12806" width="16.140625" style="1" customWidth="1"/>
    <col min="12807" max="12807" width="20.42578125" style="1" customWidth="1"/>
    <col min="12808" max="13056" width="9.140625" style="1"/>
    <col min="13057" max="13057" width="34.85546875" style="1" bestFit="1" customWidth="1"/>
    <col min="13058" max="13058" width="12" style="1" customWidth="1"/>
    <col min="13059" max="13059" width="12.5703125" style="1" customWidth="1"/>
    <col min="13060" max="13060" width="12.28515625" style="1" customWidth="1"/>
    <col min="13061" max="13061" width="11.28515625" style="1" customWidth="1"/>
    <col min="13062" max="13062" width="16.140625" style="1" customWidth="1"/>
    <col min="13063" max="13063" width="20.42578125" style="1" customWidth="1"/>
    <col min="13064" max="13312" width="9.140625" style="1"/>
    <col min="13313" max="13313" width="34.85546875" style="1" bestFit="1" customWidth="1"/>
    <col min="13314" max="13314" width="12" style="1" customWidth="1"/>
    <col min="13315" max="13315" width="12.5703125" style="1" customWidth="1"/>
    <col min="13316" max="13316" width="12.28515625" style="1" customWidth="1"/>
    <col min="13317" max="13317" width="11.28515625" style="1" customWidth="1"/>
    <col min="13318" max="13318" width="16.140625" style="1" customWidth="1"/>
    <col min="13319" max="13319" width="20.42578125" style="1" customWidth="1"/>
    <col min="13320" max="13568" width="9.140625" style="1"/>
    <col min="13569" max="13569" width="34.85546875" style="1" bestFit="1" customWidth="1"/>
    <col min="13570" max="13570" width="12" style="1" customWidth="1"/>
    <col min="13571" max="13571" width="12.5703125" style="1" customWidth="1"/>
    <col min="13572" max="13572" width="12.28515625" style="1" customWidth="1"/>
    <col min="13573" max="13573" width="11.28515625" style="1" customWidth="1"/>
    <col min="13574" max="13574" width="16.140625" style="1" customWidth="1"/>
    <col min="13575" max="13575" width="20.42578125" style="1" customWidth="1"/>
    <col min="13576" max="13824" width="9.140625" style="1"/>
    <col min="13825" max="13825" width="34.85546875" style="1" bestFit="1" customWidth="1"/>
    <col min="13826" max="13826" width="12" style="1" customWidth="1"/>
    <col min="13827" max="13827" width="12.5703125" style="1" customWidth="1"/>
    <col min="13828" max="13828" width="12.28515625" style="1" customWidth="1"/>
    <col min="13829" max="13829" width="11.28515625" style="1" customWidth="1"/>
    <col min="13830" max="13830" width="16.140625" style="1" customWidth="1"/>
    <col min="13831" max="13831" width="20.42578125" style="1" customWidth="1"/>
    <col min="13832" max="14080" width="9.140625" style="1"/>
    <col min="14081" max="14081" width="34.85546875" style="1" bestFit="1" customWidth="1"/>
    <col min="14082" max="14082" width="12" style="1" customWidth="1"/>
    <col min="14083" max="14083" width="12.5703125" style="1" customWidth="1"/>
    <col min="14084" max="14084" width="12.28515625" style="1" customWidth="1"/>
    <col min="14085" max="14085" width="11.28515625" style="1" customWidth="1"/>
    <col min="14086" max="14086" width="16.140625" style="1" customWidth="1"/>
    <col min="14087" max="14087" width="20.42578125" style="1" customWidth="1"/>
    <col min="14088" max="14336" width="9.140625" style="1"/>
    <col min="14337" max="14337" width="34.85546875" style="1" bestFit="1" customWidth="1"/>
    <col min="14338" max="14338" width="12" style="1" customWidth="1"/>
    <col min="14339" max="14339" width="12.5703125" style="1" customWidth="1"/>
    <col min="14340" max="14340" width="12.28515625" style="1" customWidth="1"/>
    <col min="14341" max="14341" width="11.28515625" style="1" customWidth="1"/>
    <col min="14342" max="14342" width="16.140625" style="1" customWidth="1"/>
    <col min="14343" max="14343" width="20.42578125" style="1" customWidth="1"/>
    <col min="14344" max="14592" width="9.140625" style="1"/>
    <col min="14593" max="14593" width="34.85546875" style="1" bestFit="1" customWidth="1"/>
    <col min="14594" max="14594" width="12" style="1" customWidth="1"/>
    <col min="14595" max="14595" width="12.5703125" style="1" customWidth="1"/>
    <col min="14596" max="14596" width="12.28515625" style="1" customWidth="1"/>
    <col min="14597" max="14597" width="11.28515625" style="1" customWidth="1"/>
    <col min="14598" max="14598" width="16.140625" style="1" customWidth="1"/>
    <col min="14599" max="14599" width="20.42578125" style="1" customWidth="1"/>
    <col min="14600" max="14848" width="9.140625" style="1"/>
    <col min="14849" max="14849" width="34.85546875" style="1" bestFit="1" customWidth="1"/>
    <col min="14850" max="14850" width="12" style="1" customWidth="1"/>
    <col min="14851" max="14851" width="12.5703125" style="1" customWidth="1"/>
    <col min="14852" max="14852" width="12.28515625" style="1" customWidth="1"/>
    <col min="14853" max="14853" width="11.28515625" style="1" customWidth="1"/>
    <col min="14854" max="14854" width="16.140625" style="1" customWidth="1"/>
    <col min="14855" max="14855" width="20.42578125" style="1" customWidth="1"/>
    <col min="14856" max="15104" width="9.140625" style="1"/>
    <col min="15105" max="15105" width="34.85546875" style="1" bestFit="1" customWidth="1"/>
    <col min="15106" max="15106" width="12" style="1" customWidth="1"/>
    <col min="15107" max="15107" width="12.5703125" style="1" customWidth="1"/>
    <col min="15108" max="15108" width="12.28515625" style="1" customWidth="1"/>
    <col min="15109" max="15109" width="11.28515625" style="1" customWidth="1"/>
    <col min="15110" max="15110" width="16.140625" style="1" customWidth="1"/>
    <col min="15111" max="15111" width="20.42578125" style="1" customWidth="1"/>
    <col min="15112" max="15360" width="9.140625" style="1"/>
    <col min="15361" max="15361" width="34.85546875" style="1" bestFit="1" customWidth="1"/>
    <col min="15362" max="15362" width="12" style="1" customWidth="1"/>
    <col min="15363" max="15363" width="12.5703125" style="1" customWidth="1"/>
    <col min="15364" max="15364" width="12.28515625" style="1" customWidth="1"/>
    <col min="15365" max="15365" width="11.28515625" style="1" customWidth="1"/>
    <col min="15366" max="15366" width="16.140625" style="1" customWidth="1"/>
    <col min="15367" max="15367" width="20.42578125" style="1" customWidth="1"/>
    <col min="15368" max="15616" width="9.140625" style="1"/>
    <col min="15617" max="15617" width="34.85546875" style="1" bestFit="1" customWidth="1"/>
    <col min="15618" max="15618" width="12" style="1" customWidth="1"/>
    <col min="15619" max="15619" width="12.5703125" style="1" customWidth="1"/>
    <col min="15620" max="15620" width="12.28515625" style="1" customWidth="1"/>
    <col min="15621" max="15621" width="11.28515625" style="1" customWidth="1"/>
    <col min="15622" max="15622" width="16.140625" style="1" customWidth="1"/>
    <col min="15623" max="15623" width="20.42578125" style="1" customWidth="1"/>
    <col min="15624" max="15872" width="9.140625" style="1"/>
    <col min="15873" max="15873" width="34.85546875" style="1" bestFit="1" customWidth="1"/>
    <col min="15874" max="15874" width="12" style="1" customWidth="1"/>
    <col min="15875" max="15875" width="12.5703125" style="1" customWidth="1"/>
    <col min="15876" max="15876" width="12.28515625" style="1" customWidth="1"/>
    <col min="15877" max="15877" width="11.28515625" style="1" customWidth="1"/>
    <col min="15878" max="15878" width="16.140625" style="1" customWidth="1"/>
    <col min="15879" max="15879" width="20.42578125" style="1" customWidth="1"/>
    <col min="15880" max="16128" width="9.140625" style="1"/>
    <col min="16129" max="16129" width="34.85546875" style="1" bestFit="1" customWidth="1"/>
    <col min="16130" max="16130" width="12" style="1" customWidth="1"/>
    <col min="16131" max="16131" width="12.5703125" style="1" customWidth="1"/>
    <col min="16132" max="16132" width="12.28515625" style="1" customWidth="1"/>
    <col min="16133" max="16133" width="11.28515625" style="1" customWidth="1"/>
    <col min="16134" max="16134" width="16.140625" style="1" customWidth="1"/>
    <col min="16135" max="16135" width="20.42578125" style="1" customWidth="1"/>
    <col min="16136" max="16384" width="9.140625" style="1"/>
  </cols>
  <sheetData>
    <row r="1" spans="1:7" ht="23.25" customHeight="1" x14ac:dyDescent="0.3">
      <c r="A1" s="145" t="s">
        <v>113</v>
      </c>
      <c r="B1" s="145"/>
      <c r="C1" s="145"/>
      <c r="D1" s="145"/>
      <c r="E1" s="145"/>
      <c r="F1" s="145"/>
      <c r="G1" s="145"/>
    </row>
    <row r="2" spans="1:7" ht="81" customHeight="1" x14ac:dyDescent="0.3">
      <c r="A2" s="146" t="s">
        <v>137</v>
      </c>
      <c r="B2" s="146"/>
      <c r="C2" s="146"/>
      <c r="D2" s="146"/>
      <c r="E2" s="146"/>
      <c r="F2" s="146"/>
      <c r="G2" s="146"/>
    </row>
    <row r="3" spans="1:7" x14ac:dyDescent="0.3">
      <c r="A3" s="146"/>
      <c r="B3" s="146"/>
      <c r="C3" s="146"/>
      <c r="D3" s="146"/>
      <c r="E3" s="146"/>
      <c r="F3" s="146"/>
      <c r="G3" s="146"/>
    </row>
    <row r="4" spans="1:7" x14ac:dyDescent="0.3">
      <c r="A4" s="90" t="s">
        <v>109</v>
      </c>
    </row>
    <row r="5" spans="1:7" s="97" customFormat="1" ht="42.75" customHeight="1" x14ac:dyDescent="0.3">
      <c r="A5" s="167" t="s">
        <v>126</v>
      </c>
      <c r="B5" s="167"/>
      <c r="C5" s="167"/>
      <c r="D5" s="95"/>
      <c r="E5" s="95"/>
      <c r="F5" s="96"/>
      <c r="G5" s="96"/>
    </row>
    <row r="6" spans="1:7" s="97" customFormat="1" ht="36" customHeight="1" x14ac:dyDescent="0.3">
      <c r="A6" s="98" t="s">
        <v>0</v>
      </c>
      <c r="B6" s="99" t="s">
        <v>1</v>
      </c>
      <c r="C6" s="100"/>
      <c r="D6" s="98" t="s">
        <v>2</v>
      </c>
      <c r="E6" s="98" t="s">
        <v>3</v>
      </c>
      <c r="F6" s="98" t="s">
        <v>30</v>
      </c>
      <c r="G6" s="101" t="s">
        <v>5</v>
      </c>
    </row>
    <row r="7" spans="1:7" s="97" customFormat="1" x14ac:dyDescent="0.3">
      <c r="A7" s="102"/>
      <c r="B7" s="101" t="s">
        <v>6</v>
      </c>
      <c r="C7" s="101" t="s">
        <v>7</v>
      </c>
      <c r="D7" s="102"/>
      <c r="E7" s="102"/>
      <c r="F7" s="102"/>
      <c r="G7" s="101" t="s">
        <v>8</v>
      </c>
    </row>
    <row r="8" spans="1:7" s="97" customFormat="1" x14ac:dyDescent="0.3">
      <c r="A8" s="103" t="s">
        <v>127</v>
      </c>
      <c r="B8" s="104">
        <v>40</v>
      </c>
      <c r="C8" s="104">
        <f>100%*B8</f>
        <v>40</v>
      </c>
      <c r="D8" s="104">
        <f>10%*C8</f>
        <v>4</v>
      </c>
      <c r="E8" s="104">
        <f>20%*C8</f>
        <v>8</v>
      </c>
      <c r="F8" s="104">
        <f>2.8%*C8</f>
        <v>1.1199999999999999</v>
      </c>
      <c r="G8" s="104">
        <f>4*(D8+F8)+9*E8</f>
        <v>92.48</v>
      </c>
    </row>
    <row r="9" spans="1:7" s="97" customFormat="1" x14ac:dyDescent="0.3">
      <c r="A9" s="103" t="s">
        <v>32</v>
      </c>
      <c r="B9" s="104">
        <v>15</v>
      </c>
      <c r="C9" s="104">
        <f>100%*B9</f>
        <v>15</v>
      </c>
      <c r="D9" s="104">
        <f>2.6%*C9</f>
        <v>0.39</v>
      </c>
      <c r="E9" s="104">
        <f>20%*C9</f>
        <v>3</v>
      </c>
      <c r="F9" s="104">
        <f>3.8%*C9</f>
        <v>0.56999999999999995</v>
      </c>
      <c r="G9" s="104">
        <f>4*(D9+F9)+9*E9</f>
        <v>30.84</v>
      </c>
    </row>
    <row r="10" spans="1:7" s="97" customFormat="1" ht="30" x14ac:dyDescent="0.3">
      <c r="A10" s="103" t="s">
        <v>54</v>
      </c>
      <c r="B10" s="104">
        <v>0.25</v>
      </c>
      <c r="C10" s="104">
        <f>B10*48</f>
        <v>12</v>
      </c>
      <c r="D10" s="104">
        <f>12.7%*C10</f>
        <v>1.524</v>
      </c>
      <c r="E10" s="104">
        <f>11.5%*C10</f>
        <v>1.3800000000000001</v>
      </c>
      <c r="F10" s="104"/>
      <c r="G10" s="104">
        <f>4*(D10+F10)+9*E10</f>
        <v>18.516000000000002</v>
      </c>
    </row>
    <row r="11" spans="1:7" s="97" customFormat="1" x14ac:dyDescent="0.3">
      <c r="A11" s="103" t="s">
        <v>10</v>
      </c>
      <c r="B11" s="104">
        <v>15</v>
      </c>
      <c r="C11" s="104">
        <f>100%*B11</f>
        <v>15</v>
      </c>
      <c r="D11" s="104"/>
      <c r="E11" s="104"/>
      <c r="F11" s="104">
        <f>99%*C11</f>
        <v>14.85</v>
      </c>
      <c r="G11" s="104">
        <f>4*(D11+F11)+9*E11</f>
        <v>59.4</v>
      </c>
    </row>
    <row r="12" spans="1:7" s="97" customFormat="1" x14ac:dyDescent="0.3">
      <c r="A12" s="103" t="s">
        <v>9</v>
      </c>
      <c r="B12" s="104">
        <v>7</v>
      </c>
      <c r="C12" s="104">
        <f>100%*B12</f>
        <v>7</v>
      </c>
      <c r="D12" s="104"/>
      <c r="E12" s="104">
        <f>72.57%*C12</f>
        <v>5.0798999999999994</v>
      </c>
      <c r="F12" s="104"/>
      <c r="G12" s="104">
        <f>4*(D12+F12)+9*E12</f>
        <v>45.719099999999997</v>
      </c>
    </row>
    <row r="13" spans="1:7" s="97" customFormat="1" x14ac:dyDescent="0.3">
      <c r="A13" s="103" t="s">
        <v>128</v>
      </c>
      <c r="B13" s="104">
        <v>0.05</v>
      </c>
      <c r="C13" s="104">
        <v>0.05</v>
      </c>
      <c r="D13" s="104"/>
      <c r="E13" s="104"/>
      <c r="F13" s="104"/>
      <c r="G13" s="104">
        <v>0</v>
      </c>
    </row>
    <row r="14" spans="1:7" s="97" customFormat="1" x14ac:dyDescent="0.3">
      <c r="A14" s="103" t="s">
        <v>11</v>
      </c>
      <c r="B14" s="104">
        <v>0.5</v>
      </c>
      <c r="C14" s="104">
        <v>0.5</v>
      </c>
      <c r="D14" s="104"/>
      <c r="E14" s="104"/>
      <c r="F14" s="104"/>
      <c r="G14" s="104">
        <v>0</v>
      </c>
    </row>
    <row r="15" spans="1:7" s="97" customFormat="1" ht="30" x14ac:dyDescent="0.3">
      <c r="A15" s="103" t="s">
        <v>62</v>
      </c>
      <c r="B15" s="104">
        <v>10</v>
      </c>
      <c r="C15" s="104">
        <f>B15*100%</f>
        <v>10</v>
      </c>
      <c r="D15" s="104">
        <f>C15*10%</f>
        <v>1</v>
      </c>
      <c r="E15" s="104">
        <f>C15*1.3%</f>
        <v>0.13</v>
      </c>
      <c r="F15" s="104">
        <f>C15*69%</f>
        <v>6.8999999999999995</v>
      </c>
      <c r="G15" s="104">
        <f>4*(D15+F15)+9*E15</f>
        <v>32.769999999999996</v>
      </c>
    </row>
    <row r="16" spans="1:7" s="97" customFormat="1" x14ac:dyDescent="0.3">
      <c r="A16" s="101" t="s">
        <v>13</v>
      </c>
      <c r="B16" s="168">
        <v>130</v>
      </c>
      <c r="C16" s="169"/>
      <c r="D16" s="105">
        <f>SUM(D8:D15)</f>
        <v>6.9139999999999997</v>
      </c>
      <c r="E16" s="105">
        <f>SUM(E8:E15)</f>
        <v>17.5899</v>
      </c>
      <c r="F16" s="105">
        <f>SUM(F8:F15)</f>
        <v>23.439999999999998</v>
      </c>
      <c r="G16" s="105">
        <f>SUM(G8:G15)</f>
        <v>279.7251</v>
      </c>
    </row>
    <row r="18" spans="1:7" x14ac:dyDescent="0.3">
      <c r="A18" s="16" t="s">
        <v>48</v>
      </c>
      <c r="B18" s="16"/>
      <c r="C18" s="16"/>
      <c r="D18" s="16"/>
      <c r="E18" s="16"/>
      <c r="F18" s="16"/>
      <c r="G18" s="16"/>
    </row>
    <row r="19" spans="1:7" ht="30" x14ac:dyDescent="0.3">
      <c r="A19" s="17" t="s">
        <v>0</v>
      </c>
      <c r="B19" s="126" t="s">
        <v>1</v>
      </c>
      <c r="C19" s="126"/>
      <c r="D19" s="17" t="s">
        <v>2</v>
      </c>
      <c r="E19" s="17" t="s">
        <v>3</v>
      </c>
      <c r="F19" s="17" t="s">
        <v>30</v>
      </c>
      <c r="G19" s="17" t="s">
        <v>5</v>
      </c>
    </row>
    <row r="20" spans="1:7" x14ac:dyDescent="0.3">
      <c r="A20" s="17"/>
      <c r="B20" s="17" t="s">
        <v>6</v>
      </c>
      <c r="C20" s="17" t="s">
        <v>7</v>
      </c>
      <c r="D20" s="17"/>
      <c r="E20" s="17"/>
      <c r="F20" s="17"/>
      <c r="G20" s="17" t="s">
        <v>8</v>
      </c>
    </row>
    <row r="21" spans="1:7" x14ac:dyDescent="0.3">
      <c r="A21" s="18" t="s">
        <v>48</v>
      </c>
      <c r="B21" s="3">
        <v>5</v>
      </c>
      <c r="C21" s="3">
        <f>100%*B21</f>
        <v>5</v>
      </c>
      <c r="D21" s="3">
        <f>20%*C21</f>
        <v>1</v>
      </c>
      <c r="E21" s="3">
        <f>13%*C21</f>
        <v>0.65</v>
      </c>
      <c r="F21" s="3">
        <f>26.6%*C21</f>
        <v>1.33</v>
      </c>
      <c r="G21" s="3">
        <f>4*(D21+F21)+9*E21</f>
        <v>15.170000000000002</v>
      </c>
    </row>
    <row r="22" spans="1:7" ht="31.5" customHeight="1" x14ac:dyDescent="0.3">
      <c r="A22" s="19" t="s">
        <v>10</v>
      </c>
      <c r="B22" s="3">
        <v>10</v>
      </c>
      <c r="C22" s="3">
        <f>100%*B22</f>
        <v>10</v>
      </c>
      <c r="D22" s="3"/>
      <c r="E22" s="3"/>
      <c r="F22" s="3">
        <f>99%*C22</f>
        <v>9.9</v>
      </c>
      <c r="G22" s="3">
        <f>4*(D22+F22)+9*E22</f>
        <v>39.6</v>
      </c>
    </row>
    <row r="23" spans="1:7" ht="30.75" customHeight="1" x14ac:dyDescent="0.3">
      <c r="A23" s="17" t="s">
        <v>13</v>
      </c>
      <c r="B23" s="126">
        <v>20</v>
      </c>
      <c r="C23" s="126"/>
      <c r="D23" s="22">
        <f>SUM(D21:D22)</f>
        <v>1</v>
      </c>
      <c r="E23" s="22">
        <f>SUM(E21:E22)</f>
        <v>0.65</v>
      </c>
      <c r="F23" s="22">
        <f>SUM(F21:F22)</f>
        <v>11.23</v>
      </c>
      <c r="G23" s="22">
        <f>SUM(G21:G22)</f>
        <v>54.77</v>
      </c>
    </row>
    <row r="25" spans="1:7" x14ac:dyDescent="0.3">
      <c r="A25" s="25" t="s">
        <v>110</v>
      </c>
      <c r="B25" s="154">
        <f>B23+B16</f>
        <v>150</v>
      </c>
      <c r="C25" s="154"/>
      <c r="D25" s="52">
        <f>D23+D16</f>
        <v>7.9139999999999997</v>
      </c>
      <c r="E25" s="52">
        <f t="shared" ref="E25:G25" si="0">E23+E16</f>
        <v>18.239899999999999</v>
      </c>
      <c r="F25" s="52">
        <f t="shared" si="0"/>
        <v>34.67</v>
      </c>
      <c r="G25" s="52">
        <f t="shared" si="0"/>
        <v>334.49509999999998</v>
      </c>
    </row>
    <row r="27" spans="1:7" x14ac:dyDescent="0.3">
      <c r="A27" s="29" t="s">
        <v>135</v>
      </c>
      <c r="B27" s="53"/>
      <c r="C27" s="53"/>
      <c r="D27" s="53"/>
      <c r="E27" s="53"/>
      <c r="F27" s="53"/>
      <c r="G27" s="53"/>
    </row>
    <row r="29" spans="1:7" x14ac:dyDescent="0.3">
      <c r="A29" s="155" t="s">
        <v>88</v>
      </c>
      <c r="B29" s="155"/>
      <c r="C29" s="155"/>
      <c r="D29" s="155"/>
      <c r="E29" s="155"/>
      <c r="F29" s="155"/>
      <c r="G29" s="155"/>
    </row>
    <row r="30" spans="1:7" ht="30" x14ac:dyDescent="0.3">
      <c r="A30" s="126" t="s">
        <v>0</v>
      </c>
      <c r="B30" s="126" t="s">
        <v>1</v>
      </c>
      <c r="C30" s="126"/>
      <c r="D30" s="138" t="s">
        <v>2</v>
      </c>
      <c r="E30" s="138" t="s">
        <v>3</v>
      </c>
      <c r="F30" s="126" t="s">
        <v>30</v>
      </c>
      <c r="G30" s="17" t="s">
        <v>5</v>
      </c>
    </row>
    <row r="31" spans="1:7" x14ac:dyDescent="0.3">
      <c r="A31" s="126"/>
      <c r="B31" s="17" t="s">
        <v>6</v>
      </c>
      <c r="C31" s="17" t="s">
        <v>7</v>
      </c>
      <c r="D31" s="131"/>
      <c r="E31" s="131"/>
      <c r="F31" s="126"/>
      <c r="G31" s="17" t="s">
        <v>8</v>
      </c>
    </row>
    <row r="32" spans="1:7" x14ac:dyDescent="0.3">
      <c r="A32" s="19" t="s">
        <v>89</v>
      </c>
      <c r="B32" s="35">
        <v>250</v>
      </c>
      <c r="C32" s="35">
        <f>B32*72%</f>
        <v>180</v>
      </c>
      <c r="D32" s="35">
        <f>18.5%*C32</f>
        <v>33.299999999999997</v>
      </c>
      <c r="E32" s="35">
        <f>15.9%*C32</f>
        <v>28.62</v>
      </c>
      <c r="F32" s="35"/>
      <c r="G32" s="35">
        <f>4*(D32+F32)+9*E32</f>
        <v>390.78</v>
      </c>
    </row>
    <row r="33" spans="1:7" x14ac:dyDescent="0.3">
      <c r="A33" s="19" t="s">
        <v>40</v>
      </c>
      <c r="B33" s="35">
        <v>5</v>
      </c>
      <c r="C33" s="35">
        <f>100%*B33</f>
        <v>5</v>
      </c>
      <c r="D33" s="35"/>
      <c r="E33" s="35">
        <f>72.57%*C33</f>
        <v>3.6284999999999994</v>
      </c>
      <c r="F33" s="35"/>
      <c r="G33" s="35">
        <f>4*(D33+F33)+9*E33</f>
        <v>32.656499999999994</v>
      </c>
    </row>
    <row r="34" spans="1:7" x14ac:dyDescent="0.3">
      <c r="A34" s="17" t="s">
        <v>13</v>
      </c>
      <c r="B34" s="139">
        <v>160</v>
      </c>
      <c r="C34" s="140"/>
      <c r="D34" s="38">
        <f>SUM(D32:D33)</f>
        <v>33.299999999999997</v>
      </c>
      <c r="E34" s="38">
        <f>SUM(E32:E33)</f>
        <v>32.2485</v>
      </c>
      <c r="F34" s="38"/>
      <c r="G34" s="38">
        <f>SUM(G32:G33)</f>
        <v>423.43649999999997</v>
      </c>
    </row>
    <row r="35" spans="1:7" x14ac:dyDescent="0.3">
      <c r="A35" s="1"/>
    </row>
    <row r="36" spans="1:7" ht="25.5" customHeight="1" x14ac:dyDescent="0.3">
      <c r="A36" s="155" t="s">
        <v>34</v>
      </c>
      <c r="B36" s="155"/>
      <c r="C36" s="155"/>
      <c r="D36" s="155"/>
      <c r="E36" s="155"/>
      <c r="F36" s="155"/>
      <c r="G36" s="155"/>
    </row>
    <row r="37" spans="1:7" ht="30" x14ac:dyDescent="0.3">
      <c r="A37" s="126" t="s">
        <v>0</v>
      </c>
      <c r="B37" s="126" t="s">
        <v>1</v>
      </c>
      <c r="C37" s="126"/>
      <c r="D37" s="126" t="s">
        <v>2</v>
      </c>
      <c r="E37" s="126" t="s">
        <v>3</v>
      </c>
      <c r="F37" s="126" t="s">
        <v>30</v>
      </c>
      <c r="G37" s="17" t="s">
        <v>5</v>
      </c>
    </row>
    <row r="38" spans="1:7" x14ac:dyDescent="0.3">
      <c r="A38" s="126"/>
      <c r="B38" s="17" t="s">
        <v>6</v>
      </c>
      <c r="C38" s="17" t="s">
        <v>7</v>
      </c>
      <c r="D38" s="126"/>
      <c r="E38" s="126"/>
      <c r="F38" s="126"/>
      <c r="G38" s="17" t="s">
        <v>8</v>
      </c>
    </row>
    <row r="39" spans="1:7" x14ac:dyDescent="0.3">
      <c r="A39" s="18" t="s">
        <v>35</v>
      </c>
      <c r="B39" s="35">
        <v>80</v>
      </c>
      <c r="C39" s="35">
        <f>B39*100%</f>
        <v>80</v>
      </c>
      <c r="D39" s="35">
        <f>10.78%*C39</f>
        <v>8.6239999999999988</v>
      </c>
      <c r="E39" s="35">
        <f>3.14%*C39</f>
        <v>2.5120000000000005</v>
      </c>
      <c r="F39" s="35">
        <f>55.9%*C39</f>
        <v>44.72</v>
      </c>
      <c r="G39" s="35">
        <f>4*(D39+F39)+9*E39</f>
        <v>235.98399999999998</v>
      </c>
    </row>
    <row r="40" spans="1:7" x14ac:dyDescent="0.3">
      <c r="A40" s="18" t="s">
        <v>12</v>
      </c>
      <c r="B40" s="35">
        <v>200</v>
      </c>
      <c r="C40" s="35">
        <v>200</v>
      </c>
      <c r="D40" s="35"/>
      <c r="E40" s="35"/>
      <c r="F40" s="35"/>
      <c r="G40" s="35"/>
    </row>
    <row r="41" spans="1:7" x14ac:dyDescent="0.3">
      <c r="A41" s="18" t="s">
        <v>11</v>
      </c>
      <c r="B41" s="35">
        <v>1.5</v>
      </c>
      <c r="C41" s="35">
        <v>1.5</v>
      </c>
      <c r="D41" s="35">
        <f>12.7%*C41</f>
        <v>0.1905</v>
      </c>
      <c r="E41" s="35">
        <f>11.5%*C41</f>
        <v>0.17250000000000001</v>
      </c>
      <c r="F41" s="35"/>
      <c r="G41" s="35">
        <f>4*(D41+F41)+9*E41</f>
        <v>2.3145000000000002</v>
      </c>
    </row>
    <row r="42" spans="1:7" ht="30" x14ac:dyDescent="0.3">
      <c r="A42" s="18" t="s">
        <v>90</v>
      </c>
      <c r="B42" s="35">
        <v>5</v>
      </c>
      <c r="C42" s="35">
        <f>100%*B42</f>
        <v>5</v>
      </c>
      <c r="D42" s="35">
        <f>0.5%*C42</f>
        <v>2.5000000000000001E-2</v>
      </c>
      <c r="E42" s="35">
        <f>82.5%*C42</f>
        <v>4.125</v>
      </c>
      <c r="F42" s="35">
        <f>0.8%*C42</f>
        <v>0.04</v>
      </c>
      <c r="G42" s="35">
        <f>4*(D42+F42)+9*E42</f>
        <v>37.384999999999998</v>
      </c>
    </row>
    <row r="43" spans="1:7" x14ac:dyDescent="0.3">
      <c r="A43" s="60" t="s">
        <v>13</v>
      </c>
      <c r="B43" s="170">
        <v>250</v>
      </c>
      <c r="C43" s="170"/>
      <c r="D43" s="38">
        <f>SUM(D39:D42)</f>
        <v>8.8394999999999992</v>
      </c>
      <c r="E43" s="38">
        <f>SUM(E39:E42)</f>
        <v>6.8094999999999999</v>
      </c>
      <c r="F43" s="38">
        <f>SUM(F39:F42)</f>
        <v>44.76</v>
      </c>
      <c r="G43" s="38">
        <f>SUM(G39:G42)</f>
        <v>275.68349999999998</v>
      </c>
    </row>
    <row r="45" spans="1:7" x14ac:dyDescent="0.3">
      <c r="A45" s="155" t="s">
        <v>91</v>
      </c>
      <c r="B45" s="155"/>
      <c r="C45" s="155"/>
      <c r="D45" s="155"/>
      <c r="E45" s="155"/>
      <c r="F45" s="155"/>
      <c r="G45" s="155"/>
    </row>
    <row r="46" spans="1:7" ht="30" x14ac:dyDescent="0.3">
      <c r="A46" s="126" t="s">
        <v>0</v>
      </c>
      <c r="B46" s="126" t="s">
        <v>1</v>
      </c>
      <c r="C46" s="126"/>
      <c r="D46" s="138" t="s">
        <v>2</v>
      </c>
      <c r="E46" s="138" t="s">
        <v>3</v>
      </c>
      <c r="F46" s="126" t="s">
        <v>30</v>
      </c>
      <c r="G46" s="17" t="s">
        <v>5</v>
      </c>
    </row>
    <row r="47" spans="1:7" x14ac:dyDescent="0.3">
      <c r="A47" s="126"/>
      <c r="B47" s="17" t="s">
        <v>6</v>
      </c>
      <c r="C47" s="17" t="s">
        <v>7</v>
      </c>
      <c r="D47" s="131"/>
      <c r="E47" s="131"/>
      <c r="F47" s="126"/>
      <c r="G47" s="17" t="s">
        <v>8</v>
      </c>
    </row>
    <row r="48" spans="1:7" ht="30" x14ac:dyDescent="0.3">
      <c r="A48" s="19" t="s">
        <v>91</v>
      </c>
      <c r="B48" s="35">
        <v>30</v>
      </c>
      <c r="C48" s="35">
        <f>100%*B48</f>
        <v>30</v>
      </c>
      <c r="D48" s="35"/>
      <c r="E48" s="35"/>
      <c r="F48" s="35"/>
      <c r="G48" s="35"/>
    </row>
    <row r="49" spans="1:7" s="32" customFormat="1" x14ac:dyDescent="0.3">
      <c r="A49" s="31" t="s">
        <v>14</v>
      </c>
      <c r="B49" s="38">
        <v>250</v>
      </c>
      <c r="C49" s="38">
        <f>B49*100%</f>
        <v>250</v>
      </c>
      <c r="D49" s="38">
        <f>C49*7.9%</f>
        <v>19.75</v>
      </c>
      <c r="E49" s="38">
        <f>C49*1%</f>
        <v>2.5</v>
      </c>
      <c r="F49" s="38">
        <f>C49*49.6%</f>
        <v>124</v>
      </c>
      <c r="G49" s="38">
        <f>4*(D49+F49)+9*E49</f>
        <v>597.5</v>
      </c>
    </row>
    <row r="51" spans="1:7" ht="24.75" customHeight="1" x14ac:dyDescent="0.3">
      <c r="A51" s="155" t="s">
        <v>75</v>
      </c>
      <c r="B51" s="155"/>
      <c r="C51" s="155"/>
      <c r="D51" s="155"/>
      <c r="E51" s="155"/>
      <c r="F51" s="155"/>
      <c r="G51" s="155"/>
    </row>
    <row r="52" spans="1:7" ht="36" customHeight="1" x14ac:dyDescent="0.3">
      <c r="A52" s="126" t="s">
        <v>0</v>
      </c>
      <c r="B52" s="126" t="s">
        <v>1</v>
      </c>
      <c r="C52" s="126"/>
      <c r="D52" s="138" t="s">
        <v>2</v>
      </c>
      <c r="E52" s="138" t="s">
        <v>3</v>
      </c>
      <c r="F52" s="126" t="s">
        <v>30</v>
      </c>
      <c r="G52" s="17" t="s">
        <v>5</v>
      </c>
    </row>
    <row r="53" spans="1:7" x14ac:dyDescent="0.3">
      <c r="A53" s="126"/>
      <c r="B53" s="17" t="s">
        <v>6</v>
      </c>
      <c r="C53" s="17" t="s">
        <v>7</v>
      </c>
      <c r="D53" s="131"/>
      <c r="E53" s="131"/>
      <c r="F53" s="126"/>
      <c r="G53" s="17" t="s">
        <v>8</v>
      </c>
    </row>
    <row r="54" spans="1:7" ht="30" x14ac:dyDescent="0.3">
      <c r="A54" s="18" t="s">
        <v>84</v>
      </c>
      <c r="B54" s="35">
        <v>65</v>
      </c>
      <c r="C54" s="35">
        <f>75%*B54</f>
        <v>48.75</v>
      </c>
      <c r="D54" s="35">
        <f>1.87%*C54</f>
        <v>0.91162500000000002</v>
      </c>
      <c r="E54" s="35"/>
      <c r="F54" s="35">
        <f>4.16%*C54</f>
        <v>2.028</v>
      </c>
      <c r="G54" s="35">
        <f>4*(D54+F54)+9*E54</f>
        <v>11.7585</v>
      </c>
    </row>
    <row r="55" spans="1:7" x14ac:dyDescent="0.3">
      <c r="A55" s="18" t="s">
        <v>19</v>
      </c>
      <c r="B55" s="35">
        <v>25</v>
      </c>
      <c r="C55" s="35">
        <f>80%*B55</f>
        <v>20</v>
      </c>
      <c r="D55" s="35">
        <f>1.77%*C55</f>
        <v>0.35399999999999998</v>
      </c>
      <c r="E55" s="35"/>
      <c r="F55" s="35">
        <f>11%*C55</f>
        <v>2.2000000000000002</v>
      </c>
      <c r="G55" s="35">
        <f>4*(D55+F55)+9*E55</f>
        <v>10.216000000000001</v>
      </c>
    </row>
    <row r="56" spans="1:7" x14ac:dyDescent="0.3">
      <c r="A56" s="19" t="s">
        <v>21</v>
      </c>
      <c r="B56" s="35">
        <v>25</v>
      </c>
      <c r="C56" s="35">
        <f>90%*B56</f>
        <v>22.5</v>
      </c>
      <c r="D56" s="35">
        <f>1.58%*C56</f>
        <v>0.35550000000000004</v>
      </c>
      <c r="E56" s="35"/>
      <c r="F56" s="35">
        <f>9.5%*C56</f>
        <v>2.1375000000000002</v>
      </c>
      <c r="G56" s="35">
        <f>4*(D56+F56)+9*E56</f>
        <v>9.9720000000000013</v>
      </c>
    </row>
    <row r="57" spans="1:7" ht="30" x14ac:dyDescent="0.3">
      <c r="A57" s="19" t="s">
        <v>85</v>
      </c>
      <c r="B57" s="35">
        <v>40</v>
      </c>
      <c r="C57" s="35">
        <f>85%*B57</f>
        <v>34</v>
      </c>
      <c r="D57" s="35">
        <f>1.5%*C57</f>
        <v>0.51</v>
      </c>
      <c r="E57" s="35"/>
      <c r="F57" s="35">
        <f>6.2%*C57</f>
        <v>2.1080000000000001</v>
      </c>
      <c r="G57" s="35">
        <f>4*(D57+F57)+9*E57</f>
        <v>10.472000000000001</v>
      </c>
    </row>
    <row r="58" spans="1:7" ht="45" x14ac:dyDescent="0.3">
      <c r="A58" s="106" t="s">
        <v>86</v>
      </c>
      <c r="B58" s="35">
        <v>60</v>
      </c>
      <c r="C58" s="35">
        <v>40</v>
      </c>
      <c r="D58" s="35">
        <v>1.04</v>
      </c>
      <c r="E58" s="35">
        <v>0.08</v>
      </c>
      <c r="F58" s="35">
        <v>2.72</v>
      </c>
      <c r="G58" s="35">
        <v>15.76</v>
      </c>
    </row>
    <row r="59" spans="1:7" x14ac:dyDescent="0.3">
      <c r="A59" s="106" t="s">
        <v>17</v>
      </c>
      <c r="B59" s="35">
        <v>25</v>
      </c>
      <c r="C59" s="35">
        <f>100%*B59</f>
        <v>25</v>
      </c>
      <c r="D59" s="35">
        <f>2.6%*C59</f>
        <v>0.65</v>
      </c>
      <c r="E59" s="35">
        <f>15%*C59</f>
        <v>3.75</v>
      </c>
      <c r="F59" s="35">
        <f>3.8%*C59</f>
        <v>0.95</v>
      </c>
      <c r="G59" s="35">
        <f>4*(D59+F59)+9*E59</f>
        <v>40.15</v>
      </c>
    </row>
    <row r="60" spans="1:7" ht="30" x14ac:dyDescent="0.3">
      <c r="A60" s="19" t="s">
        <v>87</v>
      </c>
      <c r="B60" s="6">
        <v>20</v>
      </c>
      <c r="C60" s="107">
        <f>40%*B60</f>
        <v>8</v>
      </c>
      <c r="D60" s="6">
        <f>1.9%*C60</f>
        <v>0.152</v>
      </c>
      <c r="E60" s="6"/>
      <c r="F60" s="6">
        <f>3.6%*C60</f>
        <v>0.28800000000000003</v>
      </c>
      <c r="G60" s="6">
        <f>4*(D60+F60)+9*E60</f>
        <v>1.7600000000000002</v>
      </c>
    </row>
    <row r="61" spans="1:7" s="108" customFormat="1" x14ac:dyDescent="0.25">
      <c r="A61" s="17" t="s">
        <v>13</v>
      </c>
      <c r="B61" s="134">
        <v>200</v>
      </c>
      <c r="C61" s="135"/>
      <c r="D61" s="38">
        <f>SUM(D54:D60)</f>
        <v>3.973125</v>
      </c>
      <c r="E61" s="38">
        <f>SUM(E54:E60)</f>
        <v>3.83</v>
      </c>
      <c r="F61" s="38">
        <f>SUM(F54:F60)</f>
        <v>12.4315</v>
      </c>
      <c r="G61" s="38">
        <f>SUM(G54:G60)</f>
        <v>100.0885</v>
      </c>
    </row>
    <row r="63" spans="1:7" ht="16.5" customHeight="1" x14ac:dyDescent="0.3">
      <c r="A63" s="144" t="s">
        <v>66</v>
      </c>
      <c r="B63" s="144"/>
      <c r="C63" s="144"/>
      <c r="D63" s="144"/>
      <c r="E63" s="144"/>
      <c r="F63" s="144"/>
      <c r="G63" s="144"/>
    </row>
    <row r="64" spans="1:7" ht="26.25" customHeight="1" x14ac:dyDescent="0.3">
      <c r="A64" s="126" t="s">
        <v>0</v>
      </c>
      <c r="B64" s="126" t="s">
        <v>1</v>
      </c>
      <c r="C64" s="126"/>
      <c r="D64" s="138" t="s">
        <v>2</v>
      </c>
      <c r="E64" s="138" t="s">
        <v>3</v>
      </c>
      <c r="F64" s="126" t="s">
        <v>4</v>
      </c>
      <c r="G64" s="17" t="s">
        <v>5</v>
      </c>
    </row>
    <row r="65" spans="1:7" x14ac:dyDescent="0.3">
      <c r="A65" s="126"/>
      <c r="B65" s="17" t="s">
        <v>6</v>
      </c>
      <c r="C65" s="17" t="s">
        <v>7</v>
      </c>
      <c r="D65" s="131"/>
      <c r="E65" s="131"/>
      <c r="F65" s="126"/>
      <c r="G65" s="17" t="s">
        <v>8</v>
      </c>
    </row>
    <row r="66" spans="1:7" x14ac:dyDescent="0.3">
      <c r="A66" s="83" t="s">
        <v>67</v>
      </c>
      <c r="B66" s="3">
        <v>25</v>
      </c>
      <c r="C66" s="3">
        <f>100%*B66</f>
        <v>25</v>
      </c>
      <c r="D66" s="3">
        <f>1.6%*C66</f>
        <v>0.4</v>
      </c>
      <c r="E66" s="3"/>
      <c r="F66" s="3">
        <f>40%*C66</f>
        <v>10</v>
      </c>
      <c r="G66" s="3">
        <f>4*(D66+F66)+9*E66</f>
        <v>41.6</v>
      </c>
    </row>
    <row r="67" spans="1:7" x14ac:dyDescent="0.3">
      <c r="A67" s="83" t="s">
        <v>10</v>
      </c>
      <c r="B67" s="3">
        <v>10</v>
      </c>
      <c r="C67" s="3">
        <f>100%*B67</f>
        <v>10</v>
      </c>
      <c r="D67" s="3"/>
      <c r="E67" s="3"/>
      <c r="F67" s="3">
        <f>99%*C67</f>
        <v>9.9</v>
      </c>
      <c r="G67" s="3">
        <f>4*(D67+F67)+9*E67</f>
        <v>39.6</v>
      </c>
    </row>
    <row r="68" spans="1:7" x14ac:dyDescent="0.3">
      <c r="A68" s="88" t="s">
        <v>13</v>
      </c>
      <c r="B68" s="136">
        <v>200</v>
      </c>
      <c r="C68" s="137"/>
      <c r="D68" s="22">
        <f>SUM(D66:D67)</f>
        <v>0.4</v>
      </c>
      <c r="E68" s="22">
        <f>SUM(E66:E67)</f>
        <v>0</v>
      </c>
      <c r="F68" s="22">
        <f>SUM(F66:F67)</f>
        <v>19.899999999999999</v>
      </c>
      <c r="G68" s="22">
        <f>SUM(G66:G67)</f>
        <v>81.2</v>
      </c>
    </row>
    <row r="70" spans="1:7" x14ac:dyDescent="0.3">
      <c r="A70" s="25" t="s">
        <v>129</v>
      </c>
      <c r="B70" s="154">
        <f>B61+C49+B43+B34+B68</f>
        <v>1060</v>
      </c>
      <c r="C70" s="154"/>
      <c r="D70" s="52">
        <f t="shared" ref="D70:F70" si="1">D61+D49+D43+D34+D68</f>
        <v>66.262625</v>
      </c>
      <c r="E70" s="52">
        <f t="shared" si="1"/>
        <v>45.387999999999998</v>
      </c>
      <c r="F70" s="52">
        <f t="shared" si="1"/>
        <v>201.0915</v>
      </c>
      <c r="G70" s="52">
        <f>G61+G49+G43+G34+G68</f>
        <v>1477.9085</v>
      </c>
    </row>
    <row r="72" spans="1:7" x14ac:dyDescent="0.3">
      <c r="A72" s="29" t="s">
        <v>134</v>
      </c>
      <c r="B72" s="53"/>
      <c r="C72" s="53"/>
      <c r="D72" s="53"/>
      <c r="E72" s="53"/>
      <c r="F72" s="53"/>
      <c r="G72" s="53"/>
    </row>
    <row r="74" spans="1:7" x14ac:dyDescent="0.3">
      <c r="A74" s="155" t="s">
        <v>92</v>
      </c>
      <c r="B74" s="155"/>
      <c r="C74" s="155"/>
      <c r="D74" s="155"/>
      <c r="E74" s="155"/>
      <c r="F74" s="155"/>
      <c r="G74" s="155"/>
    </row>
    <row r="75" spans="1:7" ht="30" x14ac:dyDescent="0.3">
      <c r="A75" s="126" t="s">
        <v>0</v>
      </c>
      <c r="B75" s="126" t="s">
        <v>1</v>
      </c>
      <c r="C75" s="126"/>
      <c r="D75" s="138" t="s">
        <v>2</v>
      </c>
      <c r="E75" s="138" t="s">
        <v>3</v>
      </c>
      <c r="F75" s="126" t="s">
        <v>30</v>
      </c>
      <c r="G75" s="17" t="s">
        <v>5</v>
      </c>
    </row>
    <row r="76" spans="1:7" x14ac:dyDescent="0.3">
      <c r="A76" s="126"/>
      <c r="B76" s="17" t="s">
        <v>6</v>
      </c>
      <c r="C76" s="17" t="s">
        <v>7</v>
      </c>
      <c r="D76" s="131"/>
      <c r="E76" s="131"/>
      <c r="F76" s="126"/>
      <c r="G76" s="17" t="s">
        <v>8</v>
      </c>
    </row>
    <row r="77" spans="1:7" ht="30" x14ac:dyDescent="0.3">
      <c r="A77" s="18" t="s">
        <v>93</v>
      </c>
      <c r="B77" s="35">
        <v>200</v>
      </c>
      <c r="C77" s="35">
        <f>B77*75%</f>
        <v>150</v>
      </c>
      <c r="D77" s="35">
        <f>18.6%*C77</f>
        <v>27.900000000000006</v>
      </c>
      <c r="E77" s="35">
        <f>17.3%*C77</f>
        <v>25.950000000000003</v>
      </c>
      <c r="F77" s="35"/>
      <c r="G77" s="35">
        <f>4*(D77+F77)+9*E77</f>
        <v>345.15000000000003</v>
      </c>
    </row>
    <row r="78" spans="1:7" x14ac:dyDescent="0.3">
      <c r="A78" s="18" t="s">
        <v>14</v>
      </c>
      <c r="B78" s="35">
        <v>25</v>
      </c>
      <c r="C78" s="35">
        <f>B78*100%</f>
        <v>25</v>
      </c>
      <c r="D78" s="35">
        <f>C78*7.9%</f>
        <v>1.9750000000000001</v>
      </c>
      <c r="E78" s="35">
        <f>C78*1%</f>
        <v>0.25</v>
      </c>
      <c r="F78" s="35">
        <f>C78*49.6%</f>
        <v>12.4</v>
      </c>
      <c r="G78" s="35">
        <f>4*(D78+F78)+9*E78</f>
        <v>59.75</v>
      </c>
    </row>
    <row r="79" spans="1:7" x14ac:dyDescent="0.3">
      <c r="A79" s="18" t="s">
        <v>20</v>
      </c>
      <c r="B79" s="35">
        <v>10</v>
      </c>
      <c r="C79" s="35">
        <f>85%*B79</f>
        <v>8.5</v>
      </c>
      <c r="D79" s="35"/>
      <c r="E79" s="35"/>
      <c r="F79" s="35"/>
      <c r="G79" s="35">
        <f>4*(D79+F79)+9*E79</f>
        <v>0</v>
      </c>
    </row>
    <row r="80" spans="1:7" x14ac:dyDescent="0.3">
      <c r="A80" s="19" t="s">
        <v>21</v>
      </c>
      <c r="B80" s="35">
        <v>20</v>
      </c>
      <c r="C80" s="35">
        <f>90%*B80</f>
        <v>18</v>
      </c>
      <c r="D80" s="35">
        <f>1.58%*C80</f>
        <v>0.28440000000000004</v>
      </c>
      <c r="E80" s="35"/>
      <c r="F80" s="35">
        <f>9.5%*C80</f>
        <v>1.71</v>
      </c>
      <c r="G80" s="35">
        <f>4*(D80+F80)+9*E80</f>
        <v>7.9775999999999998</v>
      </c>
    </row>
    <row r="81" spans="1:7" x14ac:dyDescent="0.3">
      <c r="A81" s="19" t="s">
        <v>27</v>
      </c>
      <c r="B81" s="35">
        <v>1</v>
      </c>
      <c r="C81" s="35">
        <v>0.9</v>
      </c>
      <c r="D81" s="35"/>
      <c r="E81" s="35"/>
      <c r="F81" s="35"/>
      <c r="G81" s="35">
        <v>0</v>
      </c>
    </row>
    <row r="82" spans="1:7" x14ac:dyDescent="0.3">
      <c r="A82" s="18" t="s">
        <v>24</v>
      </c>
      <c r="B82" s="35">
        <v>5</v>
      </c>
      <c r="C82" s="35">
        <f>100%*B82</f>
        <v>5</v>
      </c>
      <c r="D82" s="35"/>
      <c r="E82" s="35">
        <f>99.9%*C82</f>
        <v>4.995000000000001</v>
      </c>
      <c r="F82" s="35"/>
      <c r="G82" s="35">
        <f>4*(D82+F82)+9*E82</f>
        <v>44.955000000000013</v>
      </c>
    </row>
    <row r="83" spans="1:7" x14ac:dyDescent="0.3">
      <c r="A83" s="19" t="s">
        <v>11</v>
      </c>
      <c r="B83" s="35">
        <v>1</v>
      </c>
      <c r="C83" s="35">
        <f>100%*B83</f>
        <v>1</v>
      </c>
      <c r="D83" s="35"/>
      <c r="E83" s="35"/>
      <c r="F83" s="35"/>
      <c r="G83" s="35">
        <f>4*(D83+F83)+9*E83</f>
        <v>0</v>
      </c>
    </row>
    <row r="84" spans="1:7" x14ac:dyDescent="0.3">
      <c r="A84" s="17" t="s">
        <v>13</v>
      </c>
      <c r="B84" s="134">
        <v>200</v>
      </c>
      <c r="C84" s="135"/>
      <c r="D84" s="38">
        <f>SUM(D77:D83)</f>
        <v>30.159400000000009</v>
      </c>
      <c r="E84" s="38">
        <f>SUM(E77:E83)</f>
        <v>31.195000000000004</v>
      </c>
      <c r="F84" s="38">
        <f>SUM(F77:F83)</f>
        <v>14.11</v>
      </c>
      <c r="G84" s="38">
        <f>SUM(G77:G83)</f>
        <v>457.83260000000007</v>
      </c>
    </row>
    <row r="87" spans="1:7" x14ac:dyDescent="0.3">
      <c r="A87" s="155" t="s">
        <v>94</v>
      </c>
      <c r="B87" s="155"/>
      <c r="C87" s="155"/>
      <c r="D87" s="155"/>
      <c r="E87" s="155"/>
      <c r="F87" s="155"/>
      <c r="G87" s="155"/>
    </row>
    <row r="88" spans="1:7" ht="27" customHeight="1" x14ac:dyDescent="0.3">
      <c r="A88" s="126" t="s">
        <v>0</v>
      </c>
      <c r="B88" s="126" t="s">
        <v>1</v>
      </c>
      <c r="C88" s="126"/>
      <c r="D88" s="138" t="s">
        <v>2</v>
      </c>
      <c r="E88" s="138" t="s">
        <v>3</v>
      </c>
      <c r="F88" s="126" t="s">
        <v>30</v>
      </c>
      <c r="G88" s="17" t="s">
        <v>5</v>
      </c>
    </row>
    <row r="89" spans="1:7" x14ac:dyDescent="0.3">
      <c r="A89" s="126"/>
      <c r="B89" s="17" t="s">
        <v>6</v>
      </c>
      <c r="C89" s="17" t="s">
        <v>7</v>
      </c>
      <c r="D89" s="131"/>
      <c r="E89" s="131"/>
      <c r="F89" s="126"/>
      <c r="G89" s="17" t="s">
        <v>8</v>
      </c>
    </row>
    <row r="90" spans="1:7" x14ac:dyDescent="0.3">
      <c r="A90" s="19" t="s">
        <v>23</v>
      </c>
      <c r="B90" s="35">
        <v>200</v>
      </c>
      <c r="C90" s="35">
        <f>72%*B90</f>
        <v>144</v>
      </c>
      <c r="D90" s="35">
        <f>2.1%*C90</f>
        <v>3.024</v>
      </c>
      <c r="E90" s="35">
        <f>0.4%*C90</f>
        <v>0.57600000000000007</v>
      </c>
      <c r="F90" s="35">
        <f>15.6%*C90</f>
        <v>22.463999999999999</v>
      </c>
      <c r="G90" s="35">
        <f>4*(D90+F90)+9*E90</f>
        <v>107.136</v>
      </c>
    </row>
    <row r="91" spans="1:7" ht="30" x14ac:dyDescent="0.3">
      <c r="A91" s="19" t="s">
        <v>95</v>
      </c>
      <c r="B91" s="35">
        <v>20</v>
      </c>
      <c r="C91" s="35">
        <f>100%*B91</f>
        <v>20</v>
      </c>
      <c r="D91" s="35">
        <f>2.8%*C91</f>
        <v>0.55999999999999994</v>
      </c>
      <c r="E91" s="35">
        <f>3.2%*C91</f>
        <v>0.64</v>
      </c>
      <c r="F91" s="35">
        <f>4.7%*C91</f>
        <v>0.94</v>
      </c>
      <c r="G91" s="35">
        <f>4*(D91+F91)+9*E91</f>
        <v>11.76</v>
      </c>
    </row>
    <row r="92" spans="1:7" x14ac:dyDescent="0.3">
      <c r="A92" s="19" t="s">
        <v>9</v>
      </c>
      <c r="B92" s="35">
        <v>3</v>
      </c>
      <c r="C92" s="35">
        <f>100%*B92</f>
        <v>3</v>
      </c>
      <c r="D92" s="35"/>
      <c r="E92" s="35">
        <f>72.57%*C92</f>
        <v>2.1770999999999998</v>
      </c>
      <c r="F92" s="35"/>
      <c r="G92" s="35">
        <f>4*(D92+F92)+9*E92</f>
        <v>19.593899999999998</v>
      </c>
    </row>
    <row r="93" spans="1:7" x14ac:dyDescent="0.3">
      <c r="A93" s="19" t="s">
        <v>11</v>
      </c>
      <c r="B93" s="35">
        <v>2</v>
      </c>
      <c r="C93" s="35">
        <f>100%*B93</f>
        <v>2</v>
      </c>
      <c r="D93" s="35"/>
      <c r="E93" s="35"/>
      <c r="F93" s="35"/>
      <c r="G93" s="35">
        <f>4*(D93+F93)+9*E93</f>
        <v>0</v>
      </c>
    </row>
    <row r="94" spans="1:7" x14ac:dyDescent="0.3">
      <c r="A94" s="17" t="s">
        <v>13</v>
      </c>
      <c r="B94" s="134">
        <v>200</v>
      </c>
      <c r="C94" s="135"/>
      <c r="D94" s="38">
        <f>SUM(D90:D93)</f>
        <v>3.5840000000000001</v>
      </c>
      <c r="E94" s="38">
        <f>SUM(E90:E93)</f>
        <v>3.3931</v>
      </c>
      <c r="F94" s="38">
        <f>SUM(F90:F93)</f>
        <v>23.404</v>
      </c>
      <c r="G94" s="38">
        <f>SUM(G90:G93)</f>
        <v>138.48990000000001</v>
      </c>
    </row>
    <row r="95" spans="1:7" s="32" customFormat="1" x14ac:dyDescent="0.3">
      <c r="A95" s="109" t="s">
        <v>96</v>
      </c>
      <c r="B95" s="38">
        <v>250</v>
      </c>
      <c r="C95" s="38">
        <v>250</v>
      </c>
      <c r="D95" s="38">
        <f>C95*7.9%</f>
        <v>19.75</v>
      </c>
      <c r="E95" s="38">
        <f>C95*1%</f>
        <v>2.5</v>
      </c>
      <c r="F95" s="38">
        <f>C95*49.6%</f>
        <v>124</v>
      </c>
      <c r="G95" s="38">
        <f>4*(D95+F95)+9*E95</f>
        <v>597.5</v>
      </c>
    </row>
    <row r="99" spans="1:7" x14ac:dyDescent="0.3">
      <c r="A99" s="25" t="s">
        <v>136</v>
      </c>
      <c r="B99" s="154">
        <f>C95+B94+B84</f>
        <v>650</v>
      </c>
      <c r="C99" s="154"/>
      <c r="D99" s="52">
        <f>D95+D94+D84</f>
        <v>53.493400000000008</v>
      </c>
      <c r="E99" s="52">
        <f t="shared" ref="E99:G99" si="2">E95+E94+E84</f>
        <v>37.088100000000004</v>
      </c>
      <c r="F99" s="52">
        <f t="shared" si="2"/>
        <v>161.51400000000001</v>
      </c>
      <c r="G99" s="52">
        <f t="shared" si="2"/>
        <v>1193.8225000000002</v>
      </c>
    </row>
    <row r="102" spans="1:7" x14ac:dyDescent="0.3">
      <c r="A102" s="25" t="s">
        <v>111</v>
      </c>
      <c r="B102" s="156">
        <f>B99+B70+B25</f>
        <v>1860</v>
      </c>
      <c r="C102" s="156"/>
      <c r="D102" s="58">
        <f>D99+D70+D25</f>
        <v>127.67002500000001</v>
      </c>
      <c r="E102" s="58">
        <f t="shared" ref="E102:G102" si="3">E99+E70+E25</f>
        <v>100.71600000000001</v>
      </c>
      <c r="F102" s="58">
        <f t="shared" si="3"/>
        <v>397.27550000000002</v>
      </c>
      <c r="G102" s="58">
        <f t="shared" si="3"/>
        <v>3006.2261000000003</v>
      </c>
    </row>
  </sheetData>
  <mergeCells count="58">
    <mergeCell ref="A5:C5"/>
    <mergeCell ref="B25:C25"/>
    <mergeCell ref="B16:C16"/>
    <mergeCell ref="B43:C43"/>
    <mergeCell ref="A45:G45"/>
    <mergeCell ref="B30:C30"/>
    <mergeCell ref="D30:D31"/>
    <mergeCell ref="E30:E31"/>
    <mergeCell ref="F30:F31"/>
    <mergeCell ref="B34:C34"/>
    <mergeCell ref="A36:G36"/>
    <mergeCell ref="A37:A38"/>
    <mergeCell ref="B37:C37"/>
    <mergeCell ref="D37:D38"/>
    <mergeCell ref="E37:E38"/>
    <mergeCell ref="F37:F38"/>
    <mergeCell ref="F52:F53"/>
    <mergeCell ref="B61:C61"/>
    <mergeCell ref="D88:D89"/>
    <mergeCell ref="E88:E89"/>
    <mergeCell ref="F88:F89"/>
    <mergeCell ref="D75:D76"/>
    <mergeCell ref="E75:E76"/>
    <mergeCell ref="F75:F76"/>
    <mergeCell ref="B84:C84"/>
    <mergeCell ref="A87:G87"/>
    <mergeCell ref="A1:G1"/>
    <mergeCell ref="A2:G3"/>
    <mergeCell ref="B99:C99"/>
    <mergeCell ref="B19:C19"/>
    <mergeCell ref="B23:C23"/>
    <mergeCell ref="D64:D65"/>
    <mergeCell ref="E64:E65"/>
    <mergeCell ref="F64:F65"/>
    <mergeCell ref="B68:C68"/>
    <mergeCell ref="B94:C94"/>
    <mergeCell ref="B70:C70"/>
    <mergeCell ref="A74:G74"/>
    <mergeCell ref="A75:A76"/>
    <mergeCell ref="B75:C75"/>
    <mergeCell ref="A88:A89"/>
    <mergeCell ref="B88:C88"/>
    <mergeCell ref="B102:C102"/>
    <mergeCell ref="A29:G29"/>
    <mergeCell ref="A30:A31"/>
    <mergeCell ref="B46:C46"/>
    <mergeCell ref="D46:D47"/>
    <mergeCell ref="E46:E47"/>
    <mergeCell ref="F46:F47"/>
    <mergeCell ref="A51:G51"/>
    <mergeCell ref="A46:A47"/>
    <mergeCell ref="A52:A53"/>
    <mergeCell ref="B52:C52"/>
    <mergeCell ref="D52:D53"/>
    <mergeCell ref="E52:E53"/>
    <mergeCell ref="A63:G63"/>
    <mergeCell ref="A64:A65"/>
    <mergeCell ref="B64:C64"/>
  </mergeCells>
  <pageMargins left="0.7" right="0.7" top="0.75" bottom="0.75" header="0.3" footer="0.3"/>
  <pageSetup scale="8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3"/>
  <sheetViews>
    <sheetView tabSelected="1" zoomScale="120" zoomScaleNormal="120" zoomScaleSheetLayoutView="95" workbookViewId="0">
      <selection activeCell="A2" sqref="A2:G3"/>
    </sheetView>
  </sheetViews>
  <sheetFormatPr defaultRowHeight="15" x14ac:dyDescent="0.3"/>
  <cols>
    <col min="1" max="1" width="19.85546875" style="124" customWidth="1"/>
    <col min="2" max="6" width="15.28515625" style="1" customWidth="1"/>
    <col min="7" max="7" width="20.28515625" style="1" customWidth="1"/>
    <col min="8" max="256" width="9.140625" style="1"/>
    <col min="257" max="257" width="34.85546875" style="1" bestFit="1" customWidth="1"/>
    <col min="258" max="258" width="12" style="1" customWidth="1"/>
    <col min="259" max="259" width="12.5703125" style="1" customWidth="1"/>
    <col min="260" max="260" width="12.28515625" style="1" customWidth="1"/>
    <col min="261" max="261" width="11.28515625" style="1" customWidth="1"/>
    <col min="262" max="262" width="16.140625" style="1" customWidth="1"/>
    <col min="263" max="263" width="20.42578125" style="1" customWidth="1"/>
    <col min="264" max="512" width="9.140625" style="1"/>
    <col min="513" max="513" width="34.85546875" style="1" bestFit="1" customWidth="1"/>
    <col min="514" max="514" width="12" style="1" customWidth="1"/>
    <col min="515" max="515" width="12.5703125" style="1" customWidth="1"/>
    <col min="516" max="516" width="12.28515625" style="1" customWidth="1"/>
    <col min="517" max="517" width="11.28515625" style="1" customWidth="1"/>
    <col min="518" max="518" width="16.140625" style="1" customWidth="1"/>
    <col min="519" max="519" width="20.42578125" style="1" customWidth="1"/>
    <col min="520" max="768" width="9.140625" style="1"/>
    <col min="769" max="769" width="34.85546875" style="1" bestFit="1" customWidth="1"/>
    <col min="770" max="770" width="12" style="1" customWidth="1"/>
    <col min="771" max="771" width="12.5703125" style="1" customWidth="1"/>
    <col min="772" max="772" width="12.28515625" style="1" customWidth="1"/>
    <col min="773" max="773" width="11.28515625" style="1" customWidth="1"/>
    <col min="774" max="774" width="16.140625" style="1" customWidth="1"/>
    <col min="775" max="775" width="20.42578125" style="1" customWidth="1"/>
    <col min="776" max="1024" width="9.140625" style="1"/>
    <col min="1025" max="1025" width="34.85546875" style="1" bestFit="1" customWidth="1"/>
    <col min="1026" max="1026" width="12" style="1" customWidth="1"/>
    <col min="1027" max="1027" width="12.5703125" style="1" customWidth="1"/>
    <col min="1028" max="1028" width="12.28515625" style="1" customWidth="1"/>
    <col min="1029" max="1029" width="11.28515625" style="1" customWidth="1"/>
    <col min="1030" max="1030" width="16.140625" style="1" customWidth="1"/>
    <col min="1031" max="1031" width="20.42578125" style="1" customWidth="1"/>
    <col min="1032" max="1280" width="9.140625" style="1"/>
    <col min="1281" max="1281" width="34.85546875" style="1" bestFit="1" customWidth="1"/>
    <col min="1282" max="1282" width="12" style="1" customWidth="1"/>
    <col min="1283" max="1283" width="12.5703125" style="1" customWidth="1"/>
    <col min="1284" max="1284" width="12.28515625" style="1" customWidth="1"/>
    <col min="1285" max="1285" width="11.28515625" style="1" customWidth="1"/>
    <col min="1286" max="1286" width="16.140625" style="1" customWidth="1"/>
    <col min="1287" max="1287" width="20.42578125" style="1" customWidth="1"/>
    <col min="1288" max="1536" width="9.140625" style="1"/>
    <col min="1537" max="1537" width="34.85546875" style="1" bestFit="1" customWidth="1"/>
    <col min="1538" max="1538" width="12" style="1" customWidth="1"/>
    <col min="1539" max="1539" width="12.5703125" style="1" customWidth="1"/>
    <col min="1540" max="1540" width="12.28515625" style="1" customWidth="1"/>
    <col min="1541" max="1541" width="11.28515625" style="1" customWidth="1"/>
    <col min="1542" max="1542" width="16.140625" style="1" customWidth="1"/>
    <col min="1543" max="1543" width="20.42578125" style="1" customWidth="1"/>
    <col min="1544" max="1792" width="9.140625" style="1"/>
    <col min="1793" max="1793" width="34.85546875" style="1" bestFit="1" customWidth="1"/>
    <col min="1794" max="1794" width="12" style="1" customWidth="1"/>
    <col min="1795" max="1795" width="12.5703125" style="1" customWidth="1"/>
    <col min="1796" max="1796" width="12.28515625" style="1" customWidth="1"/>
    <col min="1797" max="1797" width="11.28515625" style="1" customWidth="1"/>
    <col min="1798" max="1798" width="16.140625" style="1" customWidth="1"/>
    <col min="1799" max="1799" width="20.42578125" style="1" customWidth="1"/>
    <col min="1800" max="2048" width="9.140625" style="1"/>
    <col min="2049" max="2049" width="34.85546875" style="1" bestFit="1" customWidth="1"/>
    <col min="2050" max="2050" width="12" style="1" customWidth="1"/>
    <col min="2051" max="2051" width="12.5703125" style="1" customWidth="1"/>
    <col min="2052" max="2052" width="12.28515625" style="1" customWidth="1"/>
    <col min="2053" max="2053" width="11.28515625" style="1" customWidth="1"/>
    <col min="2054" max="2054" width="16.140625" style="1" customWidth="1"/>
    <col min="2055" max="2055" width="20.42578125" style="1" customWidth="1"/>
    <col min="2056" max="2304" width="9.140625" style="1"/>
    <col min="2305" max="2305" width="34.85546875" style="1" bestFit="1" customWidth="1"/>
    <col min="2306" max="2306" width="12" style="1" customWidth="1"/>
    <col min="2307" max="2307" width="12.5703125" style="1" customWidth="1"/>
    <col min="2308" max="2308" width="12.28515625" style="1" customWidth="1"/>
    <col min="2309" max="2309" width="11.28515625" style="1" customWidth="1"/>
    <col min="2310" max="2310" width="16.140625" style="1" customWidth="1"/>
    <col min="2311" max="2311" width="20.42578125" style="1" customWidth="1"/>
    <col min="2312" max="2560" width="9.140625" style="1"/>
    <col min="2561" max="2561" width="34.85546875" style="1" bestFit="1" customWidth="1"/>
    <col min="2562" max="2562" width="12" style="1" customWidth="1"/>
    <col min="2563" max="2563" width="12.5703125" style="1" customWidth="1"/>
    <col min="2564" max="2564" width="12.28515625" style="1" customWidth="1"/>
    <col min="2565" max="2565" width="11.28515625" style="1" customWidth="1"/>
    <col min="2566" max="2566" width="16.140625" style="1" customWidth="1"/>
    <col min="2567" max="2567" width="20.42578125" style="1" customWidth="1"/>
    <col min="2568" max="2816" width="9.140625" style="1"/>
    <col min="2817" max="2817" width="34.85546875" style="1" bestFit="1" customWidth="1"/>
    <col min="2818" max="2818" width="12" style="1" customWidth="1"/>
    <col min="2819" max="2819" width="12.5703125" style="1" customWidth="1"/>
    <col min="2820" max="2820" width="12.28515625" style="1" customWidth="1"/>
    <col min="2821" max="2821" width="11.28515625" style="1" customWidth="1"/>
    <col min="2822" max="2822" width="16.140625" style="1" customWidth="1"/>
    <col min="2823" max="2823" width="20.42578125" style="1" customWidth="1"/>
    <col min="2824" max="3072" width="9.140625" style="1"/>
    <col min="3073" max="3073" width="34.85546875" style="1" bestFit="1" customWidth="1"/>
    <col min="3074" max="3074" width="12" style="1" customWidth="1"/>
    <col min="3075" max="3075" width="12.5703125" style="1" customWidth="1"/>
    <col min="3076" max="3076" width="12.28515625" style="1" customWidth="1"/>
    <col min="3077" max="3077" width="11.28515625" style="1" customWidth="1"/>
    <col min="3078" max="3078" width="16.140625" style="1" customWidth="1"/>
    <col min="3079" max="3079" width="20.42578125" style="1" customWidth="1"/>
    <col min="3080" max="3328" width="9.140625" style="1"/>
    <col min="3329" max="3329" width="34.85546875" style="1" bestFit="1" customWidth="1"/>
    <col min="3330" max="3330" width="12" style="1" customWidth="1"/>
    <col min="3331" max="3331" width="12.5703125" style="1" customWidth="1"/>
    <col min="3332" max="3332" width="12.28515625" style="1" customWidth="1"/>
    <col min="3333" max="3333" width="11.28515625" style="1" customWidth="1"/>
    <col min="3334" max="3334" width="16.140625" style="1" customWidth="1"/>
    <col min="3335" max="3335" width="20.42578125" style="1" customWidth="1"/>
    <col min="3336" max="3584" width="9.140625" style="1"/>
    <col min="3585" max="3585" width="34.85546875" style="1" bestFit="1" customWidth="1"/>
    <col min="3586" max="3586" width="12" style="1" customWidth="1"/>
    <col min="3587" max="3587" width="12.5703125" style="1" customWidth="1"/>
    <col min="3588" max="3588" width="12.28515625" style="1" customWidth="1"/>
    <col min="3589" max="3589" width="11.28515625" style="1" customWidth="1"/>
    <col min="3590" max="3590" width="16.140625" style="1" customWidth="1"/>
    <col min="3591" max="3591" width="20.42578125" style="1" customWidth="1"/>
    <col min="3592" max="3840" width="9.140625" style="1"/>
    <col min="3841" max="3841" width="34.85546875" style="1" bestFit="1" customWidth="1"/>
    <col min="3842" max="3842" width="12" style="1" customWidth="1"/>
    <col min="3843" max="3843" width="12.5703125" style="1" customWidth="1"/>
    <col min="3844" max="3844" width="12.28515625" style="1" customWidth="1"/>
    <col min="3845" max="3845" width="11.28515625" style="1" customWidth="1"/>
    <col min="3846" max="3846" width="16.140625" style="1" customWidth="1"/>
    <col min="3847" max="3847" width="20.42578125" style="1" customWidth="1"/>
    <col min="3848" max="4096" width="9.140625" style="1"/>
    <col min="4097" max="4097" width="34.85546875" style="1" bestFit="1" customWidth="1"/>
    <col min="4098" max="4098" width="12" style="1" customWidth="1"/>
    <col min="4099" max="4099" width="12.5703125" style="1" customWidth="1"/>
    <col min="4100" max="4100" width="12.28515625" style="1" customWidth="1"/>
    <col min="4101" max="4101" width="11.28515625" style="1" customWidth="1"/>
    <col min="4102" max="4102" width="16.140625" style="1" customWidth="1"/>
    <col min="4103" max="4103" width="20.42578125" style="1" customWidth="1"/>
    <col min="4104" max="4352" width="9.140625" style="1"/>
    <col min="4353" max="4353" width="34.85546875" style="1" bestFit="1" customWidth="1"/>
    <col min="4354" max="4354" width="12" style="1" customWidth="1"/>
    <col min="4355" max="4355" width="12.5703125" style="1" customWidth="1"/>
    <col min="4356" max="4356" width="12.28515625" style="1" customWidth="1"/>
    <col min="4357" max="4357" width="11.28515625" style="1" customWidth="1"/>
    <col min="4358" max="4358" width="16.140625" style="1" customWidth="1"/>
    <col min="4359" max="4359" width="20.42578125" style="1" customWidth="1"/>
    <col min="4360" max="4608" width="9.140625" style="1"/>
    <col min="4609" max="4609" width="34.85546875" style="1" bestFit="1" customWidth="1"/>
    <col min="4610" max="4610" width="12" style="1" customWidth="1"/>
    <col min="4611" max="4611" width="12.5703125" style="1" customWidth="1"/>
    <col min="4612" max="4612" width="12.28515625" style="1" customWidth="1"/>
    <col min="4613" max="4613" width="11.28515625" style="1" customWidth="1"/>
    <col min="4614" max="4614" width="16.140625" style="1" customWidth="1"/>
    <col min="4615" max="4615" width="20.42578125" style="1" customWidth="1"/>
    <col min="4616" max="4864" width="9.140625" style="1"/>
    <col min="4865" max="4865" width="34.85546875" style="1" bestFit="1" customWidth="1"/>
    <col min="4866" max="4866" width="12" style="1" customWidth="1"/>
    <col min="4867" max="4867" width="12.5703125" style="1" customWidth="1"/>
    <col min="4868" max="4868" width="12.28515625" style="1" customWidth="1"/>
    <col min="4869" max="4869" width="11.28515625" style="1" customWidth="1"/>
    <col min="4870" max="4870" width="16.140625" style="1" customWidth="1"/>
    <col min="4871" max="4871" width="20.42578125" style="1" customWidth="1"/>
    <col min="4872" max="5120" width="9.140625" style="1"/>
    <col min="5121" max="5121" width="34.85546875" style="1" bestFit="1" customWidth="1"/>
    <col min="5122" max="5122" width="12" style="1" customWidth="1"/>
    <col min="5123" max="5123" width="12.5703125" style="1" customWidth="1"/>
    <col min="5124" max="5124" width="12.28515625" style="1" customWidth="1"/>
    <col min="5125" max="5125" width="11.28515625" style="1" customWidth="1"/>
    <col min="5126" max="5126" width="16.140625" style="1" customWidth="1"/>
    <col min="5127" max="5127" width="20.42578125" style="1" customWidth="1"/>
    <col min="5128" max="5376" width="9.140625" style="1"/>
    <col min="5377" max="5377" width="34.85546875" style="1" bestFit="1" customWidth="1"/>
    <col min="5378" max="5378" width="12" style="1" customWidth="1"/>
    <col min="5379" max="5379" width="12.5703125" style="1" customWidth="1"/>
    <col min="5380" max="5380" width="12.28515625" style="1" customWidth="1"/>
    <col min="5381" max="5381" width="11.28515625" style="1" customWidth="1"/>
    <col min="5382" max="5382" width="16.140625" style="1" customWidth="1"/>
    <col min="5383" max="5383" width="20.42578125" style="1" customWidth="1"/>
    <col min="5384" max="5632" width="9.140625" style="1"/>
    <col min="5633" max="5633" width="34.85546875" style="1" bestFit="1" customWidth="1"/>
    <col min="5634" max="5634" width="12" style="1" customWidth="1"/>
    <col min="5635" max="5635" width="12.5703125" style="1" customWidth="1"/>
    <col min="5636" max="5636" width="12.28515625" style="1" customWidth="1"/>
    <col min="5637" max="5637" width="11.28515625" style="1" customWidth="1"/>
    <col min="5638" max="5638" width="16.140625" style="1" customWidth="1"/>
    <col min="5639" max="5639" width="20.42578125" style="1" customWidth="1"/>
    <col min="5640" max="5888" width="9.140625" style="1"/>
    <col min="5889" max="5889" width="34.85546875" style="1" bestFit="1" customWidth="1"/>
    <col min="5890" max="5890" width="12" style="1" customWidth="1"/>
    <col min="5891" max="5891" width="12.5703125" style="1" customWidth="1"/>
    <col min="5892" max="5892" width="12.28515625" style="1" customWidth="1"/>
    <col min="5893" max="5893" width="11.28515625" style="1" customWidth="1"/>
    <col min="5894" max="5894" width="16.140625" style="1" customWidth="1"/>
    <col min="5895" max="5895" width="20.42578125" style="1" customWidth="1"/>
    <col min="5896" max="6144" width="9.140625" style="1"/>
    <col min="6145" max="6145" width="34.85546875" style="1" bestFit="1" customWidth="1"/>
    <col min="6146" max="6146" width="12" style="1" customWidth="1"/>
    <col min="6147" max="6147" width="12.5703125" style="1" customWidth="1"/>
    <col min="6148" max="6148" width="12.28515625" style="1" customWidth="1"/>
    <col min="6149" max="6149" width="11.28515625" style="1" customWidth="1"/>
    <col min="6150" max="6150" width="16.140625" style="1" customWidth="1"/>
    <col min="6151" max="6151" width="20.42578125" style="1" customWidth="1"/>
    <col min="6152" max="6400" width="9.140625" style="1"/>
    <col min="6401" max="6401" width="34.85546875" style="1" bestFit="1" customWidth="1"/>
    <col min="6402" max="6402" width="12" style="1" customWidth="1"/>
    <col min="6403" max="6403" width="12.5703125" style="1" customWidth="1"/>
    <col min="6404" max="6404" width="12.28515625" style="1" customWidth="1"/>
    <col min="6405" max="6405" width="11.28515625" style="1" customWidth="1"/>
    <col min="6406" max="6406" width="16.140625" style="1" customWidth="1"/>
    <col min="6407" max="6407" width="20.42578125" style="1" customWidth="1"/>
    <col min="6408" max="6656" width="9.140625" style="1"/>
    <col min="6657" max="6657" width="34.85546875" style="1" bestFit="1" customWidth="1"/>
    <col min="6658" max="6658" width="12" style="1" customWidth="1"/>
    <col min="6659" max="6659" width="12.5703125" style="1" customWidth="1"/>
    <col min="6660" max="6660" width="12.28515625" style="1" customWidth="1"/>
    <col min="6661" max="6661" width="11.28515625" style="1" customWidth="1"/>
    <col min="6662" max="6662" width="16.140625" style="1" customWidth="1"/>
    <col min="6663" max="6663" width="20.42578125" style="1" customWidth="1"/>
    <col min="6664" max="6912" width="9.140625" style="1"/>
    <col min="6913" max="6913" width="34.85546875" style="1" bestFit="1" customWidth="1"/>
    <col min="6914" max="6914" width="12" style="1" customWidth="1"/>
    <col min="6915" max="6915" width="12.5703125" style="1" customWidth="1"/>
    <col min="6916" max="6916" width="12.28515625" style="1" customWidth="1"/>
    <col min="6917" max="6917" width="11.28515625" style="1" customWidth="1"/>
    <col min="6918" max="6918" width="16.140625" style="1" customWidth="1"/>
    <col min="6919" max="6919" width="20.42578125" style="1" customWidth="1"/>
    <col min="6920" max="7168" width="9.140625" style="1"/>
    <col min="7169" max="7169" width="34.85546875" style="1" bestFit="1" customWidth="1"/>
    <col min="7170" max="7170" width="12" style="1" customWidth="1"/>
    <col min="7171" max="7171" width="12.5703125" style="1" customWidth="1"/>
    <col min="7172" max="7172" width="12.28515625" style="1" customWidth="1"/>
    <col min="7173" max="7173" width="11.28515625" style="1" customWidth="1"/>
    <col min="7174" max="7174" width="16.140625" style="1" customWidth="1"/>
    <col min="7175" max="7175" width="20.42578125" style="1" customWidth="1"/>
    <col min="7176" max="7424" width="9.140625" style="1"/>
    <col min="7425" max="7425" width="34.85546875" style="1" bestFit="1" customWidth="1"/>
    <col min="7426" max="7426" width="12" style="1" customWidth="1"/>
    <col min="7427" max="7427" width="12.5703125" style="1" customWidth="1"/>
    <col min="7428" max="7428" width="12.28515625" style="1" customWidth="1"/>
    <col min="7429" max="7429" width="11.28515625" style="1" customWidth="1"/>
    <col min="7430" max="7430" width="16.140625" style="1" customWidth="1"/>
    <col min="7431" max="7431" width="20.42578125" style="1" customWidth="1"/>
    <col min="7432" max="7680" width="9.140625" style="1"/>
    <col min="7681" max="7681" width="34.85546875" style="1" bestFit="1" customWidth="1"/>
    <col min="7682" max="7682" width="12" style="1" customWidth="1"/>
    <col min="7683" max="7683" width="12.5703125" style="1" customWidth="1"/>
    <col min="7684" max="7684" width="12.28515625" style="1" customWidth="1"/>
    <col min="7685" max="7685" width="11.28515625" style="1" customWidth="1"/>
    <col min="7686" max="7686" width="16.140625" style="1" customWidth="1"/>
    <col min="7687" max="7687" width="20.42578125" style="1" customWidth="1"/>
    <col min="7688" max="7936" width="9.140625" style="1"/>
    <col min="7937" max="7937" width="34.85546875" style="1" bestFit="1" customWidth="1"/>
    <col min="7938" max="7938" width="12" style="1" customWidth="1"/>
    <col min="7939" max="7939" width="12.5703125" style="1" customWidth="1"/>
    <col min="7940" max="7940" width="12.28515625" style="1" customWidth="1"/>
    <col min="7941" max="7941" width="11.28515625" style="1" customWidth="1"/>
    <col min="7942" max="7942" width="16.140625" style="1" customWidth="1"/>
    <col min="7943" max="7943" width="20.42578125" style="1" customWidth="1"/>
    <col min="7944" max="8192" width="9.140625" style="1"/>
    <col min="8193" max="8193" width="34.85546875" style="1" bestFit="1" customWidth="1"/>
    <col min="8194" max="8194" width="12" style="1" customWidth="1"/>
    <col min="8195" max="8195" width="12.5703125" style="1" customWidth="1"/>
    <col min="8196" max="8196" width="12.28515625" style="1" customWidth="1"/>
    <col min="8197" max="8197" width="11.28515625" style="1" customWidth="1"/>
    <col min="8198" max="8198" width="16.140625" style="1" customWidth="1"/>
    <col min="8199" max="8199" width="20.42578125" style="1" customWidth="1"/>
    <col min="8200" max="8448" width="9.140625" style="1"/>
    <col min="8449" max="8449" width="34.85546875" style="1" bestFit="1" customWidth="1"/>
    <col min="8450" max="8450" width="12" style="1" customWidth="1"/>
    <col min="8451" max="8451" width="12.5703125" style="1" customWidth="1"/>
    <col min="8452" max="8452" width="12.28515625" style="1" customWidth="1"/>
    <col min="8453" max="8453" width="11.28515625" style="1" customWidth="1"/>
    <col min="8454" max="8454" width="16.140625" style="1" customWidth="1"/>
    <col min="8455" max="8455" width="20.42578125" style="1" customWidth="1"/>
    <col min="8456" max="8704" width="9.140625" style="1"/>
    <col min="8705" max="8705" width="34.85546875" style="1" bestFit="1" customWidth="1"/>
    <col min="8706" max="8706" width="12" style="1" customWidth="1"/>
    <col min="8707" max="8707" width="12.5703125" style="1" customWidth="1"/>
    <col min="8708" max="8708" width="12.28515625" style="1" customWidth="1"/>
    <col min="8709" max="8709" width="11.28515625" style="1" customWidth="1"/>
    <col min="8710" max="8710" width="16.140625" style="1" customWidth="1"/>
    <col min="8711" max="8711" width="20.42578125" style="1" customWidth="1"/>
    <col min="8712" max="8960" width="9.140625" style="1"/>
    <col min="8961" max="8961" width="34.85546875" style="1" bestFit="1" customWidth="1"/>
    <col min="8962" max="8962" width="12" style="1" customWidth="1"/>
    <col min="8963" max="8963" width="12.5703125" style="1" customWidth="1"/>
    <col min="8964" max="8964" width="12.28515625" style="1" customWidth="1"/>
    <col min="8965" max="8965" width="11.28515625" style="1" customWidth="1"/>
    <col min="8966" max="8966" width="16.140625" style="1" customWidth="1"/>
    <col min="8967" max="8967" width="20.42578125" style="1" customWidth="1"/>
    <col min="8968" max="9216" width="9.140625" style="1"/>
    <col min="9217" max="9217" width="34.85546875" style="1" bestFit="1" customWidth="1"/>
    <col min="9218" max="9218" width="12" style="1" customWidth="1"/>
    <col min="9219" max="9219" width="12.5703125" style="1" customWidth="1"/>
    <col min="9220" max="9220" width="12.28515625" style="1" customWidth="1"/>
    <col min="9221" max="9221" width="11.28515625" style="1" customWidth="1"/>
    <col min="9222" max="9222" width="16.140625" style="1" customWidth="1"/>
    <col min="9223" max="9223" width="20.42578125" style="1" customWidth="1"/>
    <col min="9224" max="9472" width="9.140625" style="1"/>
    <col min="9473" max="9473" width="34.85546875" style="1" bestFit="1" customWidth="1"/>
    <col min="9474" max="9474" width="12" style="1" customWidth="1"/>
    <col min="9475" max="9475" width="12.5703125" style="1" customWidth="1"/>
    <col min="9476" max="9476" width="12.28515625" style="1" customWidth="1"/>
    <col min="9477" max="9477" width="11.28515625" style="1" customWidth="1"/>
    <col min="9478" max="9478" width="16.140625" style="1" customWidth="1"/>
    <col min="9479" max="9479" width="20.42578125" style="1" customWidth="1"/>
    <col min="9480" max="9728" width="9.140625" style="1"/>
    <col min="9729" max="9729" width="34.85546875" style="1" bestFit="1" customWidth="1"/>
    <col min="9730" max="9730" width="12" style="1" customWidth="1"/>
    <col min="9731" max="9731" width="12.5703125" style="1" customWidth="1"/>
    <col min="9732" max="9732" width="12.28515625" style="1" customWidth="1"/>
    <col min="9733" max="9733" width="11.28515625" style="1" customWidth="1"/>
    <col min="9734" max="9734" width="16.140625" style="1" customWidth="1"/>
    <col min="9735" max="9735" width="20.42578125" style="1" customWidth="1"/>
    <col min="9736" max="9984" width="9.140625" style="1"/>
    <col min="9985" max="9985" width="34.85546875" style="1" bestFit="1" customWidth="1"/>
    <col min="9986" max="9986" width="12" style="1" customWidth="1"/>
    <col min="9987" max="9987" width="12.5703125" style="1" customWidth="1"/>
    <col min="9988" max="9988" width="12.28515625" style="1" customWidth="1"/>
    <col min="9989" max="9989" width="11.28515625" style="1" customWidth="1"/>
    <col min="9990" max="9990" width="16.140625" style="1" customWidth="1"/>
    <col min="9991" max="9991" width="20.42578125" style="1" customWidth="1"/>
    <col min="9992" max="10240" width="9.140625" style="1"/>
    <col min="10241" max="10241" width="34.85546875" style="1" bestFit="1" customWidth="1"/>
    <col min="10242" max="10242" width="12" style="1" customWidth="1"/>
    <col min="10243" max="10243" width="12.5703125" style="1" customWidth="1"/>
    <col min="10244" max="10244" width="12.28515625" style="1" customWidth="1"/>
    <col min="10245" max="10245" width="11.28515625" style="1" customWidth="1"/>
    <col min="10246" max="10246" width="16.140625" style="1" customWidth="1"/>
    <col min="10247" max="10247" width="20.42578125" style="1" customWidth="1"/>
    <col min="10248" max="10496" width="9.140625" style="1"/>
    <col min="10497" max="10497" width="34.85546875" style="1" bestFit="1" customWidth="1"/>
    <col min="10498" max="10498" width="12" style="1" customWidth="1"/>
    <col min="10499" max="10499" width="12.5703125" style="1" customWidth="1"/>
    <col min="10500" max="10500" width="12.28515625" style="1" customWidth="1"/>
    <col min="10501" max="10501" width="11.28515625" style="1" customWidth="1"/>
    <col min="10502" max="10502" width="16.140625" style="1" customWidth="1"/>
    <col min="10503" max="10503" width="20.42578125" style="1" customWidth="1"/>
    <col min="10504" max="10752" width="9.140625" style="1"/>
    <col min="10753" max="10753" width="34.85546875" style="1" bestFit="1" customWidth="1"/>
    <col min="10754" max="10754" width="12" style="1" customWidth="1"/>
    <col min="10755" max="10755" width="12.5703125" style="1" customWidth="1"/>
    <col min="10756" max="10756" width="12.28515625" style="1" customWidth="1"/>
    <col min="10757" max="10757" width="11.28515625" style="1" customWidth="1"/>
    <col min="10758" max="10758" width="16.140625" style="1" customWidth="1"/>
    <col min="10759" max="10759" width="20.42578125" style="1" customWidth="1"/>
    <col min="10760" max="11008" width="9.140625" style="1"/>
    <col min="11009" max="11009" width="34.85546875" style="1" bestFit="1" customWidth="1"/>
    <col min="11010" max="11010" width="12" style="1" customWidth="1"/>
    <col min="11011" max="11011" width="12.5703125" style="1" customWidth="1"/>
    <col min="11012" max="11012" width="12.28515625" style="1" customWidth="1"/>
    <col min="11013" max="11013" width="11.28515625" style="1" customWidth="1"/>
    <col min="11014" max="11014" width="16.140625" style="1" customWidth="1"/>
    <col min="11015" max="11015" width="20.42578125" style="1" customWidth="1"/>
    <col min="11016" max="11264" width="9.140625" style="1"/>
    <col min="11265" max="11265" width="34.85546875" style="1" bestFit="1" customWidth="1"/>
    <col min="11266" max="11266" width="12" style="1" customWidth="1"/>
    <col min="11267" max="11267" width="12.5703125" style="1" customWidth="1"/>
    <col min="11268" max="11268" width="12.28515625" style="1" customWidth="1"/>
    <col min="11269" max="11269" width="11.28515625" style="1" customWidth="1"/>
    <col min="11270" max="11270" width="16.140625" style="1" customWidth="1"/>
    <col min="11271" max="11271" width="20.42578125" style="1" customWidth="1"/>
    <col min="11272" max="11520" width="9.140625" style="1"/>
    <col min="11521" max="11521" width="34.85546875" style="1" bestFit="1" customWidth="1"/>
    <col min="11522" max="11522" width="12" style="1" customWidth="1"/>
    <col min="11523" max="11523" width="12.5703125" style="1" customWidth="1"/>
    <col min="11524" max="11524" width="12.28515625" style="1" customWidth="1"/>
    <col min="11525" max="11525" width="11.28515625" style="1" customWidth="1"/>
    <col min="11526" max="11526" width="16.140625" style="1" customWidth="1"/>
    <col min="11527" max="11527" width="20.42578125" style="1" customWidth="1"/>
    <col min="11528" max="11776" width="9.140625" style="1"/>
    <col min="11777" max="11777" width="34.85546875" style="1" bestFit="1" customWidth="1"/>
    <col min="11778" max="11778" width="12" style="1" customWidth="1"/>
    <col min="11779" max="11779" width="12.5703125" style="1" customWidth="1"/>
    <col min="11780" max="11780" width="12.28515625" style="1" customWidth="1"/>
    <col min="11781" max="11781" width="11.28515625" style="1" customWidth="1"/>
    <col min="11782" max="11782" width="16.140625" style="1" customWidth="1"/>
    <col min="11783" max="11783" width="20.42578125" style="1" customWidth="1"/>
    <col min="11784" max="12032" width="9.140625" style="1"/>
    <col min="12033" max="12033" width="34.85546875" style="1" bestFit="1" customWidth="1"/>
    <col min="12034" max="12034" width="12" style="1" customWidth="1"/>
    <col min="12035" max="12035" width="12.5703125" style="1" customWidth="1"/>
    <col min="12036" max="12036" width="12.28515625" style="1" customWidth="1"/>
    <col min="12037" max="12037" width="11.28515625" style="1" customWidth="1"/>
    <col min="12038" max="12038" width="16.140625" style="1" customWidth="1"/>
    <col min="12039" max="12039" width="20.42578125" style="1" customWidth="1"/>
    <col min="12040" max="12288" width="9.140625" style="1"/>
    <col min="12289" max="12289" width="34.85546875" style="1" bestFit="1" customWidth="1"/>
    <col min="12290" max="12290" width="12" style="1" customWidth="1"/>
    <col min="12291" max="12291" width="12.5703125" style="1" customWidth="1"/>
    <col min="12292" max="12292" width="12.28515625" style="1" customWidth="1"/>
    <col min="12293" max="12293" width="11.28515625" style="1" customWidth="1"/>
    <col min="12294" max="12294" width="16.140625" style="1" customWidth="1"/>
    <col min="12295" max="12295" width="20.42578125" style="1" customWidth="1"/>
    <col min="12296" max="12544" width="9.140625" style="1"/>
    <col min="12545" max="12545" width="34.85546875" style="1" bestFit="1" customWidth="1"/>
    <col min="12546" max="12546" width="12" style="1" customWidth="1"/>
    <col min="12547" max="12547" width="12.5703125" style="1" customWidth="1"/>
    <col min="12548" max="12548" width="12.28515625" style="1" customWidth="1"/>
    <col min="12549" max="12549" width="11.28515625" style="1" customWidth="1"/>
    <col min="12550" max="12550" width="16.140625" style="1" customWidth="1"/>
    <col min="12551" max="12551" width="20.42578125" style="1" customWidth="1"/>
    <col min="12552" max="12800" width="9.140625" style="1"/>
    <col min="12801" max="12801" width="34.85546875" style="1" bestFit="1" customWidth="1"/>
    <col min="12802" max="12802" width="12" style="1" customWidth="1"/>
    <col min="12803" max="12803" width="12.5703125" style="1" customWidth="1"/>
    <col min="12804" max="12804" width="12.28515625" style="1" customWidth="1"/>
    <col min="12805" max="12805" width="11.28515625" style="1" customWidth="1"/>
    <col min="12806" max="12806" width="16.140625" style="1" customWidth="1"/>
    <col min="12807" max="12807" width="20.42578125" style="1" customWidth="1"/>
    <col min="12808" max="13056" width="9.140625" style="1"/>
    <col min="13057" max="13057" width="34.85546875" style="1" bestFit="1" customWidth="1"/>
    <col min="13058" max="13058" width="12" style="1" customWidth="1"/>
    <col min="13059" max="13059" width="12.5703125" style="1" customWidth="1"/>
    <col min="13060" max="13060" width="12.28515625" style="1" customWidth="1"/>
    <col min="13061" max="13061" width="11.28515625" style="1" customWidth="1"/>
    <col min="13062" max="13062" width="16.140625" style="1" customWidth="1"/>
    <col min="13063" max="13063" width="20.42578125" style="1" customWidth="1"/>
    <col min="13064" max="13312" width="9.140625" style="1"/>
    <col min="13313" max="13313" width="34.85546875" style="1" bestFit="1" customWidth="1"/>
    <col min="13314" max="13314" width="12" style="1" customWidth="1"/>
    <col min="13315" max="13315" width="12.5703125" style="1" customWidth="1"/>
    <col min="13316" max="13316" width="12.28515625" style="1" customWidth="1"/>
    <col min="13317" max="13317" width="11.28515625" style="1" customWidth="1"/>
    <col min="13318" max="13318" width="16.140625" style="1" customWidth="1"/>
    <col min="13319" max="13319" width="20.42578125" style="1" customWidth="1"/>
    <col min="13320" max="13568" width="9.140625" style="1"/>
    <col min="13569" max="13569" width="34.85546875" style="1" bestFit="1" customWidth="1"/>
    <col min="13570" max="13570" width="12" style="1" customWidth="1"/>
    <col min="13571" max="13571" width="12.5703125" style="1" customWidth="1"/>
    <col min="13572" max="13572" width="12.28515625" style="1" customWidth="1"/>
    <col min="13573" max="13573" width="11.28515625" style="1" customWidth="1"/>
    <col min="13574" max="13574" width="16.140625" style="1" customWidth="1"/>
    <col min="13575" max="13575" width="20.42578125" style="1" customWidth="1"/>
    <col min="13576" max="13824" width="9.140625" style="1"/>
    <col min="13825" max="13825" width="34.85546875" style="1" bestFit="1" customWidth="1"/>
    <col min="13826" max="13826" width="12" style="1" customWidth="1"/>
    <col min="13827" max="13827" width="12.5703125" style="1" customWidth="1"/>
    <col min="13828" max="13828" width="12.28515625" style="1" customWidth="1"/>
    <col min="13829" max="13829" width="11.28515625" style="1" customWidth="1"/>
    <col min="13830" max="13830" width="16.140625" style="1" customWidth="1"/>
    <col min="13831" max="13831" width="20.42578125" style="1" customWidth="1"/>
    <col min="13832" max="14080" width="9.140625" style="1"/>
    <col min="14081" max="14081" width="34.85546875" style="1" bestFit="1" customWidth="1"/>
    <col min="14082" max="14082" width="12" style="1" customWidth="1"/>
    <col min="14083" max="14083" width="12.5703125" style="1" customWidth="1"/>
    <col min="14084" max="14084" width="12.28515625" style="1" customWidth="1"/>
    <col min="14085" max="14085" width="11.28515625" style="1" customWidth="1"/>
    <col min="14086" max="14086" width="16.140625" style="1" customWidth="1"/>
    <col min="14087" max="14087" width="20.42578125" style="1" customWidth="1"/>
    <col min="14088" max="14336" width="9.140625" style="1"/>
    <col min="14337" max="14337" width="34.85546875" style="1" bestFit="1" customWidth="1"/>
    <col min="14338" max="14338" width="12" style="1" customWidth="1"/>
    <col min="14339" max="14339" width="12.5703125" style="1" customWidth="1"/>
    <col min="14340" max="14340" width="12.28515625" style="1" customWidth="1"/>
    <col min="14341" max="14341" width="11.28515625" style="1" customWidth="1"/>
    <col min="14342" max="14342" width="16.140625" style="1" customWidth="1"/>
    <col min="14343" max="14343" width="20.42578125" style="1" customWidth="1"/>
    <col min="14344" max="14592" width="9.140625" style="1"/>
    <col min="14593" max="14593" width="34.85546875" style="1" bestFit="1" customWidth="1"/>
    <col min="14594" max="14594" width="12" style="1" customWidth="1"/>
    <col min="14595" max="14595" width="12.5703125" style="1" customWidth="1"/>
    <col min="14596" max="14596" width="12.28515625" style="1" customWidth="1"/>
    <col min="14597" max="14597" width="11.28515625" style="1" customWidth="1"/>
    <col min="14598" max="14598" width="16.140625" style="1" customWidth="1"/>
    <col min="14599" max="14599" width="20.42578125" style="1" customWidth="1"/>
    <col min="14600" max="14848" width="9.140625" style="1"/>
    <col min="14849" max="14849" width="34.85546875" style="1" bestFit="1" customWidth="1"/>
    <col min="14850" max="14850" width="12" style="1" customWidth="1"/>
    <col min="14851" max="14851" width="12.5703125" style="1" customWidth="1"/>
    <col min="14852" max="14852" width="12.28515625" style="1" customWidth="1"/>
    <col min="14853" max="14853" width="11.28515625" style="1" customWidth="1"/>
    <col min="14854" max="14854" width="16.140625" style="1" customWidth="1"/>
    <col min="14855" max="14855" width="20.42578125" style="1" customWidth="1"/>
    <col min="14856" max="15104" width="9.140625" style="1"/>
    <col min="15105" max="15105" width="34.85546875" style="1" bestFit="1" customWidth="1"/>
    <col min="15106" max="15106" width="12" style="1" customWidth="1"/>
    <col min="15107" max="15107" width="12.5703125" style="1" customWidth="1"/>
    <col min="15108" max="15108" width="12.28515625" style="1" customWidth="1"/>
    <col min="15109" max="15109" width="11.28515625" style="1" customWidth="1"/>
    <col min="15110" max="15110" width="16.140625" style="1" customWidth="1"/>
    <col min="15111" max="15111" width="20.42578125" style="1" customWidth="1"/>
    <col min="15112" max="15360" width="9.140625" style="1"/>
    <col min="15361" max="15361" width="34.85546875" style="1" bestFit="1" customWidth="1"/>
    <col min="15362" max="15362" width="12" style="1" customWidth="1"/>
    <col min="15363" max="15363" width="12.5703125" style="1" customWidth="1"/>
    <col min="15364" max="15364" width="12.28515625" style="1" customWidth="1"/>
    <col min="15365" max="15365" width="11.28515625" style="1" customWidth="1"/>
    <col min="15366" max="15366" width="16.140625" style="1" customWidth="1"/>
    <col min="15367" max="15367" width="20.42578125" style="1" customWidth="1"/>
    <col min="15368" max="15616" width="9.140625" style="1"/>
    <col min="15617" max="15617" width="34.85546875" style="1" bestFit="1" customWidth="1"/>
    <col min="15618" max="15618" width="12" style="1" customWidth="1"/>
    <col min="15619" max="15619" width="12.5703125" style="1" customWidth="1"/>
    <col min="15620" max="15620" width="12.28515625" style="1" customWidth="1"/>
    <col min="15621" max="15621" width="11.28515625" style="1" customWidth="1"/>
    <col min="15622" max="15622" width="16.140625" style="1" customWidth="1"/>
    <col min="15623" max="15623" width="20.42578125" style="1" customWidth="1"/>
    <col min="15624" max="15872" width="9.140625" style="1"/>
    <col min="15873" max="15873" width="34.85546875" style="1" bestFit="1" customWidth="1"/>
    <col min="15874" max="15874" width="12" style="1" customWidth="1"/>
    <col min="15875" max="15875" width="12.5703125" style="1" customWidth="1"/>
    <col min="15876" max="15876" width="12.28515625" style="1" customWidth="1"/>
    <col min="15877" max="15877" width="11.28515625" style="1" customWidth="1"/>
    <col min="15878" max="15878" width="16.140625" style="1" customWidth="1"/>
    <col min="15879" max="15879" width="20.42578125" style="1" customWidth="1"/>
    <col min="15880" max="16128" width="9.140625" style="1"/>
    <col min="16129" max="16129" width="34.85546875" style="1" bestFit="1" customWidth="1"/>
    <col min="16130" max="16130" width="12" style="1" customWidth="1"/>
    <col min="16131" max="16131" width="12.5703125" style="1" customWidth="1"/>
    <col min="16132" max="16132" width="12.28515625" style="1" customWidth="1"/>
    <col min="16133" max="16133" width="11.28515625" style="1" customWidth="1"/>
    <col min="16134" max="16134" width="16.140625" style="1" customWidth="1"/>
    <col min="16135" max="16135" width="20.42578125" style="1" customWidth="1"/>
    <col min="16136" max="16384" width="9.140625" style="1"/>
  </cols>
  <sheetData>
    <row r="1" spans="1:7" ht="30" customHeight="1" x14ac:dyDescent="0.3">
      <c r="A1" s="145" t="s">
        <v>113</v>
      </c>
      <c r="B1" s="145"/>
      <c r="C1" s="145"/>
      <c r="D1" s="145"/>
      <c r="E1" s="145"/>
      <c r="F1" s="145"/>
      <c r="G1" s="145"/>
    </row>
    <row r="2" spans="1:7" ht="114" customHeight="1" x14ac:dyDescent="0.3">
      <c r="A2" s="146" t="s">
        <v>137</v>
      </c>
      <c r="B2" s="146"/>
      <c r="C2" s="146"/>
      <c r="D2" s="146"/>
      <c r="E2" s="146"/>
      <c r="F2" s="146"/>
      <c r="G2" s="146"/>
    </row>
    <row r="3" spans="1:7" ht="6.75" customHeight="1" x14ac:dyDescent="0.3">
      <c r="A3" s="146"/>
      <c r="B3" s="146"/>
      <c r="C3" s="146"/>
      <c r="D3" s="146"/>
      <c r="E3" s="146"/>
      <c r="F3" s="146"/>
      <c r="G3" s="146"/>
    </row>
    <row r="4" spans="1:7" x14ac:dyDescent="0.3">
      <c r="A4" s="110" t="s">
        <v>109</v>
      </c>
    </row>
    <row r="5" spans="1:7" x14ac:dyDescent="0.3">
      <c r="A5" s="1"/>
    </row>
    <row r="6" spans="1:7" ht="30" customHeight="1" x14ac:dyDescent="0.3">
      <c r="A6" s="173" t="s">
        <v>131</v>
      </c>
      <c r="B6" s="173"/>
      <c r="C6" s="53"/>
      <c r="D6" s="53"/>
      <c r="E6" s="53"/>
      <c r="F6" s="53"/>
      <c r="G6" s="53"/>
    </row>
    <row r="7" spans="1:7" ht="30" x14ac:dyDescent="0.3">
      <c r="A7" s="126" t="s">
        <v>0</v>
      </c>
      <c r="B7" s="126" t="s">
        <v>1</v>
      </c>
      <c r="C7" s="126"/>
      <c r="D7" s="138" t="s">
        <v>2</v>
      </c>
      <c r="E7" s="138" t="s">
        <v>3</v>
      </c>
      <c r="F7" s="126" t="s">
        <v>30</v>
      </c>
      <c r="G7" s="17" t="s">
        <v>5</v>
      </c>
    </row>
    <row r="8" spans="1:7" x14ac:dyDescent="0.3">
      <c r="A8" s="126"/>
      <c r="B8" s="17" t="s">
        <v>6</v>
      </c>
      <c r="C8" s="17" t="s">
        <v>7</v>
      </c>
      <c r="D8" s="131"/>
      <c r="E8" s="131"/>
      <c r="F8" s="126"/>
      <c r="G8" s="17" t="s">
        <v>8</v>
      </c>
    </row>
    <row r="9" spans="1:7" x14ac:dyDescent="0.3">
      <c r="A9" s="18" t="s">
        <v>62</v>
      </c>
      <c r="B9" s="35">
        <v>75</v>
      </c>
      <c r="C9" s="35">
        <f>B9*100%</f>
        <v>75</v>
      </c>
      <c r="D9" s="35">
        <f>C9*10%</f>
        <v>7.5</v>
      </c>
      <c r="E9" s="35">
        <f>C9*1.3%</f>
        <v>0.97500000000000009</v>
      </c>
      <c r="F9" s="35">
        <f>C9*69%</f>
        <v>51.749999999999993</v>
      </c>
      <c r="G9" s="35">
        <f>4*(D9+F9)+9*E9</f>
        <v>245.77499999999998</v>
      </c>
    </row>
    <row r="10" spans="1:7" x14ac:dyDescent="0.3">
      <c r="A10" s="18" t="s">
        <v>54</v>
      </c>
      <c r="B10" s="35">
        <v>2</v>
      </c>
      <c r="C10" s="35">
        <f>B10*48</f>
        <v>96</v>
      </c>
      <c r="D10" s="35">
        <f>12.7%*C10</f>
        <v>12.192</v>
      </c>
      <c r="E10" s="35">
        <f>11.5%*C10</f>
        <v>11.040000000000001</v>
      </c>
      <c r="F10" s="35"/>
      <c r="G10" s="35">
        <f>4*(D10+F10)+9*E10</f>
        <v>148.12800000000001</v>
      </c>
    </row>
    <row r="11" spans="1:7" x14ac:dyDescent="0.3">
      <c r="A11" s="18" t="s">
        <v>107</v>
      </c>
      <c r="B11" s="35">
        <v>65</v>
      </c>
      <c r="C11" s="35">
        <f>100%*B11</f>
        <v>65</v>
      </c>
      <c r="D11" s="35">
        <f>2.8%*C11</f>
        <v>1.8199999999999998</v>
      </c>
      <c r="E11" s="35">
        <f>3.2%*C11</f>
        <v>2.08</v>
      </c>
      <c r="F11" s="35">
        <f>4.7%*C11</f>
        <v>3.0550000000000002</v>
      </c>
      <c r="G11" s="35">
        <f>4*(D11+F11)+9*E11</f>
        <v>38.22</v>
      </c>
    </row>
    <row r="12" spans="1:7" x14ac:dyDescent="0.3">
      <c r="A12" s="74" t="s">
        <v>24</v>
      </c>
      <c r="B12" s="35">
        <v>7</v>
      </c>
      <c r="C12" s="35">
        <f>100%*B12</f>
        <v>7</v>
      </c>
      <c r="D12" s="35"/>
      <c r="E12" s="35">
        <f>99.9%*C12</f>
        <v>6.9930000000000003</v>
      </c>
      <c r="F12" s="35"/>
      <c r="G12" s="35">
        <f>4*(D12+F12)+9*E12</f>
        <v>62.937000000000005</v>
      </c>
    </row>
    <row r="13" spans="1:7" x14ac:dyDescent="0.3">
      <c r="A13" s="18" t="s">
        <v>11</v>
      </c>
      <c r="B13" s="35">
        <v>0.5</v>
      </c>
      <c r="C13" s="35">
        <v>0.5</v>
      </c>
      <c r="D13" s="35"/>
      <c r="E13" s="35"/>
      <c r="F13" s="35"/>
      <c r="G13" s="35"/>
    </row>
    <row r="14" spans="1:7" x14ac:dyDescent="0.3">
      <c r="A14" s="18" t="s">
        <v>10</v>
      </c>
      <c r="B14" s="35">
        <v>5</v>
      </c>
      <c r="C14" s="35">
        <f>100%*B14</f>
        <v>5</v>
      </c>
      <c r="D14" s="35"/>
      <c r="E14" s="35"/>
      <c r="F14" s="35">
        <f>99%*C14</f>
        <v>4.95</v>
      </c>
      <c r="G14" s="35">
        <f>4*(D14+F14)+9*E14</f>
        <v>19.8</v>
      </c>
    </row>
    <row r="15" spans="1:7" x14ac:dyDescent="0.3">
      <c r="A15" s="18" t="s">
        <v>130</v>
      </c>
      <c r="B15" s="3">
        <v>15</v>
      </c>
      <c r="C15" s="3">
        <f>100%*B15</f>
        <v>15</v>
      </c>
      <c r="D15" s="3"/>
      <c r="E15" s="3"/>
      <c r="F15" s="3">
        <f>70.1%*C15</f>
        <v>10.514999999999999</v>
      </c>
      <c r="G15" s="3">
        <f>4*(D15+F15)+9*E15</f>
        <v>42.059999999999995</v>
      </c>
    </row>
    <row r="16" spans="1:7" x14ac:dyDescent="0.3">
      <c r="A16" s="60" t="s">
        <v>13</v>
      </c>
      <c r="B16" s="139">
        <v>160</v>
      </c>
      <c r="C16" s="140"/>
      <c r="D16" s="38">
        <f>SUM(D9:D15)</f>
        <v>21.512</v>
      </c>
      <c r="E16" s="38">
        <f>SUM(E9:E15)</f>
        <v>21.088000000000001</v>
      </c>
      <c r="F16" s="38">
        <f>SUM(F9:F15)</f>
        <v>70.27</v>
      </c>
      <c r="G16" s="38">
        <f>SUM(G9:G15)</f>
        <v>556.91999999999996</v>
      </c>
    </row>
    <row r="17" spans="1:7" x14ac:dyDescent="0.3">
      <c r="A17" s="111"/>
      <c r="B17" s="112"/>
      <c r="C17" s="112"/>
      <c r="D17" s="112"/>
      <c r="E17" s="112"/>
      <c r="F17" s="112"/>
      <c r="G17" s="112"/>
    </row>
    <row r="18" spans="1:7" x14ac:dyDescent="0.3">
      <c r="A18" s="155"/>
      <c r="B18" s="155"/>
      <c r="C18" s="155"/>
      <c r="D18" s="155"/>
      <c r="E18" s="155"/>
      <c r="F18" s="155"/>
      <c r="G18" s="155"/>
    </row>
    <row r="19" spans="1:7" ht="30" x14ac:dyDescent="0.3">
      <c r="A19" s="126" t="s">
        <v>0</v>
      </c>
      <c r="B19" s="126" t="s">
        <v>1</v>
      </c>
      <c r="C19" s="126"/>
      <c r="D19" s="138" t="s">
        <v>2</v>
      </c>
      <c r="E19" s="138" t="s">
        <v>3</v>
      </c>
      <c r="F19" s="126" t="s">
        <v>30</v>
      </c>
      <c r="G19" s="17" t="s">
        <v>5</v>
      </c>
    </row>
    <row r="20" spans="1:7" x14ac:dyDescent="0.3">
      <c r="A20" s="126"/>
      <c r="B20" s="17" t="s">
        <v>6</v>
      </c>
      <c r="C20" s="17" t="s">
        <v>7</v>
      </c>
      <c r="D20" s="131"/>
      <c r="E20" s="131"/>
      <c r="F20" s="126"/>
      <c r="G20" s="17" t="s">
        <v>8</v>
      </c>
    </row>
    <row r="21" spans="1:7" x14ac:dyDescent="0.3">
      <c r="A21" s="18" t="s">
        <v>48</v>
      </c>
      <c r="B21" s="3">
        <v>5</v>
      </c>
      <c r="C21" s="3">
        <f>100%*B21</f>
        <v>5</v>
      </c>
      <c r="D21" s="3">
        <f>20%*C21</f>
        <v>1</v>
      </c>
      <c r="E21" s="3">
        <f>13%*C21</f>
        <v>0.65</v>
      </c>
      <c r="F21" s="3">
        <f>26.6%*C21</f>
        <v>1.33</v>
      </c>
      <c r="G21" s="3">
        <f>4*(D21+F21)+9*E21</f>
        <v>15.170000000000002</v>
      </c>
    </row>
    <row r="22" spans="1:7" x14ac:dyDescent="0.3">
      <c r="A22" s="18" t="s">
        <v>10</v>
      </c>
      <c r="B22" s="35">
        <v>10</v>
      </c>
      <c r="C22" s="35">
        <f>100%*B22</f>
        <v>10</v>
      </c>
      <c r="D22" s="35"/>
      <c r="E22" s="35"/>
      <c r="F22" s="35">
        <f>99%*C22</f>
        <v>9.9</v>
      </c>
      <c r="G22" s="35">
        <f>4*(D22+F22)+9*E22</f>
        <v>39.6</v>
      </c>
    </row>
    <row r="23" spans="1:7" x14ac:dyDescent="0.3">
      <c r="A23" s="60" t="s">
        <v>13</v>
      </c>
      <c r="B23" s="161">
        <v>200</v>
      </c>
      <c r="C23" s="162"/>
      <c r="D23" s="35"/>
      <c r="E23" s="35"/>
      <c r="F23" s="35">
        <f>SUM(F21:F22)</f>
        <v>11.23</v>
      </c>
      <c r="G23" s="35">
        <f>SUM(G21:G22)</f>
        <v>54.77</v>
      </c>
    </row>
    <row r="24" spans="1:7" x14ac:dyDescent="0.3">
      <c r="A24" s="111"/>
      <c r="B24" s="113"/>
      <c r="C24" s="113"/>
      <c r="D24" s="113"/>
      <c r="E24" s="113"/>
      <c r="F24" s="113"/>
      <c r="G24" s="113"/>
    </row>
    <row r="25" spans="1:7" x14ac:dyDescent="0.3">
      <c r="A25" s="114" t="s">
        <v>110</v>
      </c>
      <c r="B25" s="154">
        <f>B23+B16</f>
        <v>360</v>
      </c>
      <c r="C25" s="154"/>
      <c r="D25" s="52">
        <f>D23+D16</f>
        <v>21.512</v>
      </c>
      <c r="E25" s="52">
        <f>E23+E16</f>
        <v>21.088000000000001</v>
      </c>
      <c r="F25" s="52">
        <f>F23+F16</f>
        <v>81.5</v>
      </c>
      <c r="G25" s="52">
        <f>G23+G16</f>
        <v>611.68999999999994</v>
      </c>
    </row>
    <row r="26" spans="1:7" x14ac:dyDescent="0.3">
      <c r="A26" s="115"/>
      <c r="B26" s="116"/>
      <c r="C26" s="116"/>
      <c r="D26" s="116"/>
      <c r="E26" s="116"/>
      <c r="F26" s="116"/>
      <c r="G26" s="116"/>
    </row>
    <row r="27" spans="1:7" x14ac:dyDescent="0.3">
      <c r="A27" s="117" t="s">
        <v>135</v>
      </c>
      <c r="B27" s="116"/>
      <c r="C27" s="116"/>
      <c r="D27" s="116"/>
      <c r="E27" s="116"/>
      <c r="F27" s="116"/>
      <c r="G27" s="116"/>
    </row>
    <row r="29" spans="1:7" x14ac:dyDescent="0.3">
      <c r="A29" s="155" t="s">
        <v>75</v>
      </c>
      <c r="B29" s="155"/>
      <c r="C29" s="155"/>
      <c r="D29" s="155"/>
      <c r="E29" s="155"/>
      <c r="F29" s="155"/>
      <c r="G29" s="155"/>
    </row>
    <row r="30" spans="1:7" ht="31.5" customHeight="1" x14ac:dyDescent="0.3">
      <c r="A30" s="126" t="s">
        <v>0</v>
      </c>
      <c r="B30" s="126" t="s">
        <v>1</v>
      </c>
      <c r="C30" s="126"/>
      <c r="D30" s="138" t="s">
        <v>2</v>
      </c>
      <c r="E30" s="138" t="s">
        <v>3</v>
      </c>
      <c r="F30" s="126" t="s">
        <v>30</v>
      </c>
      <c r="G30" s="17" t="s">
        <v>5</v>
      </c>
    </row>
    <row r="31" spans="1:7" x14ac:dyDescent="0.3">
      <c r="A31" s="126"/>
      <c r="B31" s="17" t="s">
        <v>6</v>
      </c>
      <c r="C31" s="17" t="s">
        <v>7</v>
      </c>
      <c r="D31" s="131"/>
      <c r="E31" s="131"/>
      <c r="F31" s="126"/>
      <c r="G31" s="17" t="s">
        <v>8</v>
      </c>
    </row>
    <row r="32" spans="1:7" x14ac:dyDescent="0.3">
      <c r="A32" s="18" t="s">
        <v>23</v>
      </c>
      <c r="B32" s="35">
        <v>100</v>
      </c>
      <c r="C32" s="35">
        <f>72%*B32</f>
        <v>72</v>
      </c>
      <c r="D32" s="35">
        <f>2.1%*C32</f>
        <v>1.512</v>
      </c>
      <c r="E32" s="35">
        <f>0.4%*C32</f>
        <v>0.28800000000000003</v>
      </c>
      <c r="F32" s="35">
        <f>15.6%*C32</f>
        <v>11.231999999999999</v>
      </c>
      <c r="G32" s="35">
        <f t="shared" ref="G32:G37" si="0">4*(D32+F32)+9*E32</f>
        <v>53.567999999999998</v>
      </c>
    </row>
    <row r="33" spans="1:7" x14ac:dyDescent="0.3">
      <c r="A33" s="18" t="s">
        <v>15</v>
      </c>
      <c r="B33" s="35">
        <v>50</v>
      </c>
      <c r="C33" s="35">
        <f>90%*B33</f>
        <v>45</v>
      </c>
      <c r="D33" s="35">
        <f>0.8%*C33</f>
        <v>0.36</v>
      </c>
      <c r="E33" s="35"/>
      <c r="F33" s="35">
        <f>2.6%*C33</f>
        <v>1.1700000000000002</v>
      </c>
      <c r="G33" s="35">
        <f t="shared" si="0"/>
        <v>6.120000000000001</v>
      </c>
    </row>
    <row r="34" spans="1:7" x14ac:dyDescent="0.3">
      <c r="A34" s="18" t="s">
        <v>19</v>
      </c>
      <c r="B34" s="35">
        <v>64</v>
      </c>
      <c r="C34" s="35">
        <f>80%*B34</f>
        <v>51.2</v>
      </c>
      <c r="D34" s="35">
        <f>1.77%*C34</f>
        <v>0.90624000000000005</v>
      </c>
      <c r="E34" s="35"/>
      <c r="F34" s="35">
        <f>11%*C34</f>
        <v>5.6320000000000006</v>
      </c>
      <c r="G34" s="35">
        <f t="shared" si="0"/>
        <v>26.152960000000004</v>
      </c>
    </row>
    <row r="35" spans="1:7" x14ac:dyDescent="0.3">
      <c r="A35" s="18" t="s">
        <v>24</v>
      </c>
      <c r="B35" s="35">
        <v>7.5</v>
      </c>
      <c r="C35" s="35">
        <f>100%*B35</f>
        <v>7.5</v>
      </c>
      <c r="D35" s="35"/>
      <c r="E35" s="35">
        <f>99.9%*C35</f>
        <v>7.4925000000000006</v>
      </c>
      <c r="F35" s="35"/>
      <c r="G35" s="35">
        <f t="shared" si="0"/>
        <v>67.432500000000005</v>
      </c>
    </row>
    <row r="36" spans="1:7" x14ac:dyDescent="0.3">
      <c r="A36" s="18" t="s">
        <v>20</v>
      </c>
      <c r="B36" s="35">
        <v>14</v>
      </c>
      <c r="C36" s="35">
        <f>85%*B36</f>
        <v>11.9</v>
      </c>
      <c r="D36" s="35"/>
      <c r="E36" s="35"/>
      <c r="F36" s="35"/>
      <c r="G36" s="35">
        <f t="shared" si="0"/>
        <v>0</v>
      </c>
    </row>
    <row r="37" spans="1:7" x14ac:dyDescent="0.3">
      <c r="A37" s="118" t="s">
        <v>11</v>
      </c>
      <c r="B37" s="35">
        <v>1</v>
      </c>
      <c r="C37" s="35">
        <f>100%*B37</f>
        <v>1</v>
      </c>
      <c r="D37" s="35"/>
      <c r="E37" s="35"/>
      <c r="F37" s="35"/>
      <c r="G37" s="35">
        <f t="shared" si="0"/>
        <v>0</v>
      </c>
    </row>
    <row r="38" spans="1:7" x14ac:dyDescent="0.3">
      <c r="A38" s="17" t="s">
        <v>13</v>
      </c>
      <c r="B38" s="134">
        <v>200</v>
      </c>
      <c r="C38" s="135"/>
      <c r="D38" s="38">
        <f>SUM(D32:D37)</f>
        <v>2.7782399999999998</v>
      </c>
      <c r="E38" s="38">
        <f>SUM(E32:E37)</f>
        <v>7.7805000000000009</v>
      </c>
      <c r="F38" s="38">
        <f>SUM(F32:F37)</f>
        <v>18.033999999999999</v>
      </c>
      <c r="G38" s="38">
        <f>SUM(G32:G37)</f>
        <v>153.27346</v>
      </c>
    </row>
    <row r="40" spans="1:7" x14ac:dyDescent="0.3">
      <c r="A40" s="155" t="s">
        <v>103</v>
      </c>
      <c r="B40" s="155"/>
      <c r="C40" s="155"/>
      <c r="D40" s="155"/>
      <c r="E40" s="155"/>
      <c r="F40" s="155"/>
      <c r="G40" s="155"/>
    </row>
    <row r="41" spans="1:7" ht="36" customHeight="1" x14ac:dyDescent="0.3">
      <c r="A41" s="126" t="s">
        <v>0</v>
      </c>
      <c r="B41" s="126" t="s">
        <v>1</v>
      </c>
      <c r="C41" s="126"/>
      <c r="D41" s="138" t="s">
        <v>2</v>
      </c>
      <c r="E41" s="138" t="s">
        <v>3</v>
      </c>
      <c r="F41" s="126" t="s">
        <v>30</v>
      </c>
      <c r="G41" s="17" t="s">
        <v>5</v>
      </c>
    </row>
    <row r="42" spans="1:7" x14ac:dyDescent="0.3">
      <c r="A42" s="126"/>
      <c r="B42" s="17" t="s">
        <v>6</v>
      </c>
      <c r="C42" s="17" t="s">
        <v>7</v>
      </c>
      <c r="D42" s="131"/>
      <c r="E42" s="131"/>
      <c r="F42" s="126"/>
      <c r="G42" s="17" t="s">
        <v>8</v>
      </c>
    </row>
    <row r="43" spans="1:7" ht="30" x14ac:dyDescent="0.3">
      <c r="A43" s="18" t="s">
        <v>45</v>
      </c>
      <c r="B43" s="35">
        <v>200</v>
      </c>
      <c r="C43" s="35">
        <f>B43*75%</f>
        <v>150</v>
      </c>
      <c r="D43" s="35">
        <f>18.6%*C43</f>
        <v>27.900000000000006</v>
      </c>
      <c r="E43" s="35">
        <f>17.3%*C43</f>
        <v>25.950000000000003</v>
      </c>
      <c r="F43" s="35"/>
      <c r="G43" s="35">
        <f>4*(D43+F43)+9*E43</f>
        <v>345.15000000000003</v>
      </c>
    </row>
    <row r="44" spans="1:7" x14ac:dyDescent="0.3">
      <c r="A44" s="118" t="s">
        <v>19</v>
      </c>
      <c r="B44" s="35">
        <v>60</v>
      </c>
      <c r="C44" s="35">
        <f>80%*B44</f>
        <v>48</v>
      </c>
      <c r="D44" s="35">
        <f>1.77%*C44</f>
        <v>0.84960000000000002</v>
      </c>
      <c r="E44" s="35"/>
      <c r="F44" s="35">
        <f>11%*C44</f>
        <v>5.28</v>
      </c>
      <c r="G44" s="35">
        <f t="shared" ref="G44:G50" si="1">4*(D44+F44)+9*E44</f>
        <v>24.5184</v>
      </c>
    </row>
    <row r="45" spans="1:7" x14ac:dyDescent="0.3">
      <c r="A45" s="118" t="s">
        <v>21</v>
      </c>
      <c r="B45" s="35">
        <v>25</v>
      </c>
      <c r="C45" s="35">
        <f>90%*B45</f>
        <v>22.5</v>
      </c>
      <c r="D45" s="35">
        <f>1.58%*C45</f>
        <v>0.35550000000000004</v>
      </c>
      <c r="E45" s="35"/>
      <c r="F45" s="35">
        <f>9.5%*C45</f>
        <v>2.1375000000000002</v>
      </c>
      <c r="G45" s="35">
        <f t="shared" si="1"/>
        <v>9.9720000000000013</v>
      </c>
    </row>
    <row r="46" spans="1:7" x14ac:dyDescent="0.3">
      <c r="A46" s="118" t="s">
        <v>104</v>
      </c>
      <c r="B46" s="35">
        <v>5</v>
      </c>
      <c r="C46" s="35">
        <f>100%*B46</f>
        <v>5</v>
      </c>
      <c r="D46" s="35"/>
      <c r="E46" s="35"/>
      <c r="F46" s="35">
        <f>17.7%*C46</f>
        <v>0.88500000000000001</v>
      </c>
      <c r="G46" s="35">
        <f t="shared" si="1"/>
        <v>3.54</v>
      </c>
    </row>
    <row r="47" spans="1:7" x14ac:dyDescent="0.3">
      <c r="A47" s="118" t="s">
        <v>24</v>
      </c>
      <c r="B47" s="35">
        <v>5</v>
      </c>
      <c r="C47" s="35">
        <f>100%*B47</f>
        <v>5</v>
      </c>
      <c r="D47" s="35"/>
      <c r="E47" s="35">
        <f>99.9%*C47</f>
        <v>4.995000000000001</v>
      </c>
      <c r="F47" s="35"/>
      <c r="G47" s="35">
        <f t="shared" si="1"/>
        <v>44.955000000000013</v>
      </c>
    </row>
    <row r="48" spans="1:7" x14ac:dyDescent="0.3">
      <c r="A48" s="118" t="s">
        <v>20</v>
      </c>
      <c r="B48" s="35">
        <v>18</v>
      </c>
      <c r="C48" s="35">
        <f>85%*B48</f>
        <v>15.299999999999999</v>
      </c>
      <c r="D48" s="35"/>
      <c r="E48" s="35"/>
      <c r="F48" s="35"/>
      <c r="G48" s="35">
        <f t="shared" si="1"/>
        <v>0</v>
      </c>
    </row>
    <row r="49" spans="1:8" x14ac:dyDescent="0.3">
      <c r="A49" s="118" t="s">
        <v>27</v>
      </c>
      <c r="B49" s="35">
        <v>1</v>
      </c>
      <c r="C49" s="35">
        <f>92%*B49</f>
        <v>0.92</v>
      </c>
      <c r="D49" s="35"/>
      <c r="E49" s="35"/>
      <c r="F49" s="35"/>
      <c r="G49" s="35">
        <f t="shared" si="1"/>
        <v>0</v>
      </c>
    </row>
    <row r="50" spans="1:8" x14ac:dyDescent="0.3">
      <c r="A50" s="118" t="s">
        <v>11</v>
      </c>
      <c r="B50" s="35">
        <v>2</v>
      </c>
      <c r="C50" s="35">
        <f>100%*B50</f>
        <v>2</v>
      </c>
      <c r="D50" s="35"/>
      <c r="E50" s="35"/>
      <c r="F50" s="35"/>
      <c r="G50" s="35">
        <f t="shared" si="1"/>
        <v>0</v>
      </c>
    </row>
    <row r="51" spans="1:8" x14ac:dyDescent="0.3">
      <c r="A51" s="17" t="s">
        <v>13</v>
      </c>
      <c r="B51" s="134">
        <v>300</v>
      </c>
      <c r="C51" s="135"/>
      <c r="D51" s="38">
        <f>SUM(D43:D50)</f>
        <v>29.105100000000004</v>
      </c>
      <c r="E51" s="38">
        <f>SUM(E43:E50)</f>
        <v>30.945000000000004</v>
      </c>
      <c r="F51" s="38">
        <f>SUM(F43:F50)</f>
        <v>8.3025000000000002</v>
      </c>
      <c r="G51" s="38">
        <f>SUM(G43:G50)</f>
        <v>428.1354</v>
      </c>
    </row>
    <row r="52" spans="1:8" x14ac:dyDescent="0.3">
      <c r="A52" s="45"/>
      <c r="B52" s="45"/>
      <c r="C52" s="45"/>
      <c r="D52" s="53"/>
      <c r="E52" s="53"/>
      <c r="F52" s="53"/>
      <c r="G52" s="53"/>
    </row>
    <row r="53" spans="1:8" x14ac:dyDescent="0.3">
      <c r="A53" s="155" t="s">
        <v>105</v>
      </c>
      <c r="B53" s="155"/>
      <c r="C53" s="155"/>
      <c r="D53" s="155"/>
      <c r="E53" s="155"/>
      <c r="F53" s="155"/>
      <c r="G53" s="155"/>
    </row>
    <row r="54" spans="1:8" ht="34.5" customHeight="1" x14ac:dyDescent="0.3">
      <c r="A54" s="126" t="s">
        <v>0</v>
      </c>
      <c r="B54" s="126" t="s">
        <v>1</v>
      </c>
      <c r="C54" s="126"/>
      <c r="D54" s="138" t="s">
        <v>2</v>
      </c>
      <c r="E54" s="138" t="s">
        <v>3</v>
      </c>
      <c r="F54" s="126" t="s">
        <v>4</v>
      </c>
      <c r="G54" s="17" t="s">
        <v>5</v>
      </c>
    </row>
    <row r="55" spans="1:8" x14ac:dyDescent="0.3">
      <c r="A55" s="126"/>
      <c r="B55" s="17" t="s">
        <v>6</v>
      </c>
      <c r="C55" s="17" t="s">
        <v>7</v>
      </c>
      <c r="D55" s="131"/>
      <c r="E55" s="131"/>
      <c r="F55" s="126"/>
      <c r="G55" s="17" t="s">
        <v>8</v>
      </c>
    </row>
    <row r="56" spans="1:8" x14ac:dyDescent="0.3">
      <c r="A56" s="118" t="s">
        <v>23</v>
      </c>
      <c r="B56" s="35">
        <v>210</v>
      </c>
      <c r="C56" s="35">
        <f>72%*B56</f>
        <v>151.19999999999999</v>
      </c>
      <c r="D56" s="35">
        <f>2.1%*C56</f>
        <v>3.1751999999999998</v>
      </c>
      <c r="E56" s="35">
        <f>0.4%*C56</f>
        <v>0.6048</v>
      </c>
      <c r="F56" s="35">
        <f>15.6%*C56</f>
        <v>23.587199999999999</v>
      </c>
      <c r="G56" s="35">
        <f>4*(D56+F56)+9*E56</f>
        <v>112.4928</v>
      </c>
    </row>
    <row r="57" spans="1:8" x14ac:dyDescent="0.3">
      <c r="A57" s="118" t="s">
        <v>24</v>
      </c>
      <c r="B57" s="35">
        <v>10</v>
      </c>
      <c r="C57" s="35">
        <f>100%*B57</f>
        <v>10</v>
      </c>
      <c r="D57" s="35"/>
      <c r="E57" s="35">
        <f>99.9%*C57</f>
        <v>9.990000000000002</v>
      </c>
      <c r="F57" s="35"/>
      <c r="G57" s="35">
        <f>4*(D57+F57)+9*E57</f>
        <v>89.910000000000025</v>
      </c>
    </row>
    <row r="58" spans="1:8" x14ac:dyDescent="0.3">
      <c r="A58" s="118" t="s">
        <v>11</v>
      </c>
      <c r="B58" s="35">
        <v>1</v>
      </c>
      <c r="C58" s="35">
        <f>100%*B58</f>
        <v>1</v>
      </c>
      <c r="D58" s="35"/>
      <c r="E58" s="35"/>
      <c r="F58" s="35"/>
      <c r="G58" s="35">
        <f>4*(D58+F58)+9*E58</f>
        <v>0</v>
      </c>
    </row>
    <row r="59" spans="1:8" x14ac:dyDescent="0.3">
      <c r="A59" s="119" t="s">
        <v>13</v>
      </c>
      <c r="B59" s="139">
        <v>150</v>
      </c>
      <c r="C59" s="140"/>
      <c r="D59" s="38">
        <f>SUM(D56:D57)</f>
        <v>3.1751999999999998</v>
      </c>
      <c r="E59" s="38">
        <f>SUM(E56:E57)</f>
        <v>10.594800000000003</v>
      </c>
      <c r="F59" s="38">
        <f>SUM(F56:F57)</f>
        <v>23.587199999999999</v>
      </c>
      <c r="G59" s="38">
        <f>SUM(G56:G58)</f>
        <v>202.40280000000001</v>
      </c>
    </row>
    <row r="60" spans="1:8" s="32" customFormat="1" x14ac:dyDescent="0.3">
      <c r="A60" s="109" t="s">
        <v>96</v>
      </c>
      <c r="B60" s="38">
        <v>250</v>
      </c>
      <c r="C60" s="38">
        <f>B60*100%</f>
        <v>250</v>
      </c>
      <c r="D60" s="38">
        <f>C60*7.9%</f>
        <v>19.75</v>
      </c>
      <c r="E60" s="38">
        <f>C60*1%</f>
        <v>2.5</v>
      </c>
      <c r="F60" s="38">
        <f>C60*49.6%</f>
        <v>124</v>
      </c>
      <c r="G60" s="38">
        <f>4*(D60+F60)+9*E60</f>
        <v>597.5</v>
      </c>
    </row>
    <row r="61" spans="1:8" x14ac:dyDescent="0.3">
      <c r="A61" s="120"/>
      <c r="B61" s="56"/>
      <c r="C61" s="56"/>
      <c r="D61" s="56"/>
      <c r="E61" s="56"/>
      <c r="F61" s="56"/>
      <c r="G61" s="56"/>
      <c r="H61" s="7"/>
    </row>
    <row r="62" spans="1:8" ht="16.5" customHeight="1" x14ac:dyDescent="0.3">
      <c r="A62" s="144" t="s">
        <v>66</v>
      </c>
      <c r="B62" s="144"/>
      <c r="C62" s="144"/>
      <c r="D62" s="144"/>
      <c r="E62" s="144"/>
      <c r="F62" s="144"/>
      <c r="G62" s="144"/>
    </row>
    <row r="63" spans="1:8" ht="26.25" customHeight="1" x14ac:dyDescent="0.3">
      <c r="A63" s="126" t="s">
        <v>0</v>
      </c>
      <c r="B63" s="126" t="s">
        <v>1</v>
      </c>
      <c r="C63" s="126"/>
      <c r="D63" s="138" t="s">
        <v>2</v>
      </c>
      <c r="E63" s="138" t="s">
        <v>3</v>
      </c>
      <c r="F63" s="126" t="s">
        <v>4</v>
      </c>
      <c r="G63" s="17" t="s">
        <v>5</v>
      </c>
    </row>
    <row r="64" spans="1:8" x14ac:dyDescent="0.3">
      <c r="A64" s="126"/>
      <c r="B64" s="17" t="s">
        <v>6</v>
      </c>
      <c r="C64" s="17" t="s">
        <v>7</v>
      </c>
      <c r="D64" s="131"/>
      <c r="E64" s="131"/>
      <c r="F64" s="126"/>
      <c r="G64" s="17" t="s">
        <v>8</v>
      </c>
    </row>
    <row r="65" spans="1:7" x14ac:dyDescent="0.3">
      <c r="A65" s="83" t="s">
        <v>67</v>
      </c>
      <c r="B65" s="3">
        <v>25</v>
      </c>
      <c r="C65" s="3">
        <f>100%*B65</f>
        <v>25</v>
      </c>
      <c r="D65" s="3">
        <f>1.6%*C65</f>
        <v>0.4</v>
      </c>
      <c r="E65" s="3"/>
      <c r="F65" s="3">
        <f>40%*C65</f>
        <v>10</v>
      </c>
      <c r="G65" s="3">
        <f>4*(D65+F65)+9*E65</f>
        <v>41.6</v>
      </c>
    </row>
    <row r="66" spans="1:7" x14ac:dyDescent="0.3">
      <c r="A66" s="83" t="s">
        <v>10</v>
      </c>
      <c r="B66" s="3">
        <v>10</v>
      </c>
      <c r="C66" s="3">
        <f>100%*B66</f>
        <v>10</v>
      </c>
      <c r="D66" s="3"/>
      <c r="E66" s="3"/>
      <c r="F66" s="3">
        <f>99%*C66</f>
        <v>9.9</v>
      </c>
      <c r="G66" s="3">
        <f>4*(D66+F66)+9*E66</f>
        <v>39.6</v>
      </c>
    </row>
    <row r="67" spans="1:7" x14ac:dyDescent="0.3">
      <c r="A67" s="88" t="s">
        <v>13</v>
      </c>
      <c r="B67" s="136">
        <v>200</v>
      </c>
      <c r="C67" s="137"/>
      <c r="D67" s="22">
        <f>SUM(D65:D66)</f>
        <v>0.4</v>
      </c>
      <c r="E67" s="22">
        <f>SUM(E65:E66)</f>
        <v>0</v>
      </c>
      <c r="F67" s="22">
        <f>SUM(F65:F66)</f>
        <v>19.899999999999999</v>
      </c>
      <c r="G67" s="22">
        <f>SUM(G65:G66)</f>
        <v>81.2</v>
      </c>
    </row>
    <row r="68" spans="1:7" x14ac:dyDescent="0.3">
      <c r="A68" s="1"/>
    </row>
    <row r="70" spans="1:7" x14ac:dyDescent="0.3">
      <c r="A70" s="114" t="s">
        <v>124</v>
      </c>
      <c r="B70" s="154">
        <f>C60+B59+B51+B38+B67</f>
        <v>1100</v>
      </c>
      <c r="C70" s="154"/>
      <c r="D70" s="52">
        <f t="shared" ref="D70:F70" si="2">D60+D59+D51+D38+D67</f>
        <v>55.208539999999999</v>
      </c>
      <c r="E70" s="52">
        <f t="shared" si="2"/>
        <v>51.82030000000001</v>
      </c>
      <c r="F70" s="52">
        <f t="shared" si="2"/>
        <v>193.8237</v>
      </c>
      <c r="G70" s="52">
        <f>G60+G59+G51+G38+G67</f>
        <v>1462.5116599999999</v>
      </c>
    </row>
    <row r="71" spans="1:7" x14ac:dyDescent="0.3">
      <c r="A71" s="115"/>
      <c r="B71" s="116"/>
      <c r="C71" s="116"/>
      <c r="D71" s="116"/>
      <c r="E71" s="116"/>
      <c r="F71" s="116"/>
      <c r="G71" s="116"/>
    </row>
    <row r="72" spans="1:7" x14ac:dyDescent="0.3">
      <c r="A72" s="117" t="s">
        <v>134</v>
      </c>
      <c r="B72" s="116"/>
      <c r="C72" s="116"/>
      <c r="D72" s="116"/>
      <c r="E72" s="116"/>
      <c r="F72" s="116"/>
      <c r="G72" s="116"/>
    </row>
    <row r="74" spans="1:7" x14ac:dyDescent="0.3">
      <c r="A74" s="121" t="s">
        <v>106</v>
      </c>
    </row>
    <row r="75" spans="1:7" ht="30" x14ac:dyDescent="0.3">
      <c r="A75" s="126" t="s">
        <v>0</v>
      </c>
      <c r="B75" s="126" t="s">
        <v>1</v>
      </c>
      <c r="C75" s="126"/>
      <c r="D75" s="138" t="s">
        <v>2</v>
      </c>
      <c r="E75" s="138" t="s">
        <v>3</v>
      </c>
      <c r="F75" s="126" t="s">
        <v>30</v>
      </c>
      <c r="G75" s="17" t="s">
        <v>5</v>
      </c>
    </row>
    <row r="76" spans="1:7" x14ac:dyDescent="0.3">
      <c r="A76" s="126"/>
      <c r="B76" s="17" t="s">
        <v>6</v>
      </c>
      <c r="C76" s="17" t="s">
        <v>7</v>
      </c>
      <c r="D76" s="131"/>
      <c r="E76" s="131"/>
      <c r="F76" s="126"/>
      <c r="G76" s="17" t="s">
        <v>8</v>
      </c>
    </row>
    <row r="77" spans="1:7" x14ac:dyDescent="0.3">
      <c r="A77" s="74" t="s">
        <v>99</v>
      </c>
      <c r="B77" s="35">
        <v>125</v>
      </c>
      <c r="C77" s="35">
        <f>B77*92%</f>
        <v>115</v>
      </c>
      <c r="D77" s="35">
        <f>23%*C77</f>
        <v>26.450000000000003</v>
      </c>
      <c r="E77" s="35">
        <f>1.9%*C77</f>
        <v>2.1850000000000001</v>
      </c>
      <c r="F77" s="35">
        <f>0.7%*C77</f>
        <v>0.80499999999999994</v>
      </c>
      <c r="G77" s="35">
        <f t="shared" ref="G77:G82" si="3">4*(D77+F77)+9*E77</f>
        <v>128.685</v>
      </c>
    </row>
    <row r="78" spans="1:7" ht="16.5" customHeight="1" x14ac:dyDescent="0.3">
      <c r="A78" s="74" t="s">
        <v>9</v>
      </c>
      <c r="B78" s="35">
        <v>7</v>
      </c>
      <c r="C78" s="35">
        <f>100%*B78</f>
        <v>7</v>
      </c>
      <c r="D78" s="35">
        <f>0.5%*C78</f>
        <v>3.5000000000000003E-2</v>
      </c>
      <c r="E78" s="35">
        <f>82.5%*C78</f>
        <v>5.7749999999999995</v>
      </c>
      <c r="F78" s="35">
        <f>0.8%*C78</f>
        <v>5.6000000000000001E-2</v>
      </c>
      <c r="G78" s="35">
        <f t="shared" si="3"/>
        <v>52.338999999999992</v>
      </c>
    </row>
    <row r="79" spans="1:7" ht="18.75" customHeight="1" x14ac:dyDescent="0.3">
      <c r="A79" s="74" t="s">
        <v>19</v>
      </c>
      <c r="B79" s="35">
        <v>25</v>
      </c>
      <c r="C79" s="35">
        <f>80%*B79</f>
        <v>20</v>
      </c>
      <c r="D79" s="35">
        <f>1.77%*C79</f>
        <v>0.35399999999999998</v>
      </c>
      <c r="E79" s="35"/>
      <c r="F79" s="35">
        <f>11%*C79</f>
        <v>2.2000000000000002</v>
      </c>
      <c r="G79" s="35">
        <f t="shared" si="3"/>
        <v>10.216000000000001</v>
      </c>
    </row>
    <row r="80" spans="1:7" ht="18" customHeight="1" x14ac:dyDescent="0.3">
      <c r="A80" s="74" t="s">
        <v>18</v>
      </c>
      <c r="B80" s="35">
        <v>50</v>
      </c>
      <c r="C80" s="35">
        <f>B80*100%</f>
        <v>50</v>
      </c>
      <c r="D80" s="35">
        <f>7.4%*C80</f>
        <v>3.7000000000000006</v>
      </c>
      <c r="E80" s="35">
        <f>3.14%*C80</f>
        <v>1.5700000000000003</v>
      </c>
      <c r="F80" s="35">
        <f>62.3%*C80</f>
        <v>31.15</v>
      </c>
      <c r="G80" s="35">
        <f t="shared" si="3"/>
        <v>153.53</v>
      </c>
    </row>
    <row r="81" spans="1:10" ht="18" customHeight="1" x14ac:dyDescent="0.3">
      <c r="A81" s="74" t="s">
        <v>20</v>
      </c>
      <c r="B81" s="35">
        <v>7</v>
      </c>
      <c r="C81" s="35">
        <f>85%*B81</f>
        <v>5.95</v>
      </c>
      <c r="D81" s="35"/>
      <c r="E81" s="35"/>
      <c r="F81" s="35"/>
      <c r="G81" s="35">
        <f t="shared" si="3"/>
        <v>0</v>
      </c>
    </row>
    <row r="82" spans="1:10" ht="18.75" customHeight="1" x14ac:dyDescent="0.3">
      <c r="A82" s="74" t="s">
        <v>104</v>
      </c>
      <c r="B82" s="35">
        <v>5</v>
      </c>
      <c r="C82" s="35">
        <f>100%*B82</f>
        <v>5</v>
      </c>
      <c r="D82" s="35"/>
      <c r="E82" s="35"/>
      <c r="F82" s="35">
        <f>17.7%*C82</f>
        <v>0.88500000000000001</v>
      </c>
      <c r="G82" s="35">
        <f t="shared" si="3"/>
        <v>3.54</v>
      </c>
      <c r="I82" s="122"/>
    </row>
    <row r="83" spans="1:10" ht="19.5" customHeight="1" x14ac:dyDescent="0.3">
      <c r="A83" s="18" t="s">
        <v>11</v>
      </c>
      <c r="B83" s="35">
        <v>1.5</v>
      </c>
      <c r="C83" s="35">
        <f>100%*B83</f>
        <v>1.5</v>
      </c>
      <c r="D83" s="35"/>
      <c r="E83" s="35"/>
      <c r="F83" s="35"/>
      <c r="G83" s="35"/>
    </row>
    <row r="84" spans="1:10" x14ac:dyDescent="0.3">
      <c r="A84" s="119" t="s">
        <v>13</v>
      </c>
      <c r="B84" s="171" t="s">
        <v>112</v>
      </c>
      <c r="C84" s="172"/>
      <c r="D84" s="38">
        <f>SUM(D77:D83)</f>
        <v>30.539000000000001</v>
      </c>
      <c r="E84" s="38">
        <f>SUM(E77:E83)</f>
        <v>9.5299999999999994</v>
      </c>
      <c r="F84" s="38">
        <f>SUM(F77:F83)</f>
        <v>35.095999999999997</v>
      </c>
      <c r="G84" s="38">
        <f>SUM(G77:G83)</f>
        <v>348.31</v>
      </c>
      <c r="J84" s="123"/>
    </row>
    <row r="85" spans="1:10" x14ac:dyDescent="0.3">
      <c r="A85" s="115"/>
      <c r="B85" s="53"/>
      <c r="C85" s="53"/>
      <c r="D85" s="53"/>
      <c r="E85" s="53"/>
      <c r="F85" s="53"/>
      <c r="G85" s="53"/>
    </row>
    <row r="86" spans="1:10" ht="21.75" customHeight="1" x14ac:dyDescent="0.3">
      <c r="A86" s="155" t="s">
        <v>79</v>
      </c>
      <c r="B86" s="155"/>
      <c r="C86" s="155"/>
      <c r="D86" s="155"/>
      <c r="E86" s="155"/>
      <c r="F86" s="155"/>
      <c r="G86" s="155"/>
    </row>
    <row r="87" spans="1:10" ht="30" x14ac:dyDescent="0.3">
      <c r="A87" s="126" t="s">
        <v>0</v>
      </c>
      <c r="B87" s="126" t="s">
        <v>1</v>
      </c>
      <c r="C87" s="126"/>
      <c r="D87" s="138" t="s">
        <v>2</v>
      </c>
      <c r="E87" s="138" t="s">
        <v>3</v>
      </c>
      <c r="F87" s="126" t="s">
        <v>30</v>
      </c>
      <c r="G87" s="17" t="s">
        <v>5</v>
      </c>
    </row>
    <row r="88" spans="1:10" x14ac:dyDescent="0.3">
      <c r="A88" s="126"/>
      <c r="B88" s="17" t="s">
        <v>6</v>
      </c>
      <c r="C88" s="17" t="s">
        <v>7</v>
      </c>
      <c r="D88" s="131"/>
      <c r="E88" s="131"/>
      <c r="F88" s="126"/>
      <c r="G88" s="17" t="s">
        <v>8</v>
      </c>
    </row>
    <row r="89" spans="1:10" ht="62.25" customHeight="1" x14ac:dyDescent="0.3">
      <c r="A89" s="18" t="s">
        <v>25</v>
      </c>
      <c r="B89" s="35">
        <v>57</v>
      </c>
      <c r="C89" s="35">
        <f>75%*B89</f>
        <v>42.75</v>
      </c>
      <c r="D89" s="35">
        <f>1.87%*C89</f>
        <v>0.79942500000000005</v>
      </c>
      <c r="E89" s="35"/>
      <c r="F89" s="35">
        <f>4.16%*C89</f>
        <v>1.7784</v>
      </c>
      <c r="G89" s="35">
        <f>4*(D89+F89)+9*E89</f>
        <v>10.311299999999999</v>
      </c>
    </row>
    <row r="90" spans="1:10" x14ac:dyDescent="0.3">
      <c r="A90" s="74" t="s">
        <v>19</v>
      </c>
      <c r="B90" s="35">
        <v>25</v>
      </c>
      <c r="C90" s="35">
        <f>80%*B90</f>
        <v>20</v>
      </c>
      <c r="D90" s="35">
        <f>1.77%*C90</f>
        <v>0.35399999999999998</v>
      </c>
      <c r="E90" s="35"/>
      <c r="F90" s="35">
        <f>11%*C90</f>
        <v>2.2000000000000002</v>
      </c>
      <c r="G90" s="35">
        <f>4*(D90+F90)+9*E90</f>
        <v>10.216000000000001</v>
      </c>
    </row>
    <row r="91" spans="1:10" x14ac:dyDescent="0.3">
      <c r="A91" s="74" t="s">
        <v>80</v>
      </c>
      <c r="B91" s="35">
        <v>20</v>
      </c>
      <c r="C91" s="35">
        <v>20</v>
      </c>
      <c r="D91" s="35"/>
      <c r="E91" s="35"/>
      <c r="F91" s="35"/>
      <c r="G91" s="35"/>
    </row>
    <row r="92" spans="1:10" x14ac:dyDescent="0.3">
      <c r="A92" s="74" t="s">
        <v>20</v>
      </c>
      <c r="B92" s="35">
        <v>7</v>
      </c>
      <c r="C92" s="35">
        <f>85%*B92</f>
        <v>5.95</v>
      </c>
      <c r="D92" s="35"/>
      <c r="E92" s="35"/>
      <c r="F92" s="35"/>
      <c r="G92" s="35">
        <f>4*(D92+F92)+9*E92</f>
        <v>0</v>
      </c>
    </row>
    <row r="93" spans="1:10" x14ac:dyDescent="0.3">
      <c r="A93" s="18" t="s">
        <v>11</v>
      </c>
      <c r="B93" s="35">
        <v>1</v>
      </c>
      <c r="C93" s="35">
        <v>1</v>
      </c>
      <c r="D93" s="35"/>
      <c r="E93" s="35"/>
      <c r="F93" s="35"/>
      <c r="G93" s="35"/>
    </row>
    <row r="94" spans="1:10" x14ac:dyDescent="0.3">
      <c r="A94" s="74" t="s">
        <v>24</v>
      </c>
      <c r="B94" s="35">
        <v>5</v>
      </c>
      <c r="C94" s="35">
        <f>100%*B94</f>
        <v>5</v>
      </c>
      <c r="D94" s="35"/>
      <c r="E94" s="35">
        <f>99.9%*C94</f>
        <v>4.995000000000001</v>
      </c>
      <c r="F94" s="35"/>
      <c r="G94" s="35">
        <f>4*(D94+F94)+9*E94</f>
        <v>44.955000000000013</v>
      </c>
    </row>
    <row r="95" spans="1:10" x14ac:dyDescent="0.3">
      <c r="A95" s="60" t="s">
        <v>13</v>
      </c>
      <c r="B95" s="139">
        <v>130</v>
      </c>
      <c r="C95" s="140"/>
      <c r="D95" s="37">
        <f>SUM(D89:D94)</f>
        <v>1.1534249999999999</v>
      </c>
      <c r="E95" s="37">
        <f>SUM(E89:E94)</f>
        <v>4.995000000000001</v>
      </c>
      <c r="F95" s="37">
        <f>SUM(F89:F94)</f>
        <v>3.9784000000000002</v>
      </c>
      <c r="G95" s="37">
        <f>SUM(G89:G94)</f>
        <v>65.482300000000009</v>
      </c>
    </row>
    <row r="96" spans="1:10" x14ac:dyDescent="0.3">
      <c r="A96" s="46"/>
      <c r="B96" s="53"/>
      <c r="C96" s="53"/>
      <c r="D96" s="53"/>
      <c r="E96" s="53"/>
      <c r="F96" s="53"/>
      <c r="G96" s="53"/>
    </row>
    <row r="97" spans="1:7" x14ac:dyDescent="0.3">
      <c r="A97" s="73" t="s">
        <v>97</v>
      </c>
      <c r="B97" s="38">
        <v>250</v>
      </c>
      <c r="C97" s="38">
        <f>B97*100%</f>
        <v>250</v>
      </c>
      <c r="D97" s="38">
        <f>C97*7.9%</f>
        <v>19.75</v>
      </c>
      <c r="E97" s="38">
        <f>C97*1%</f>
        <v>2.5</v>
      </c>
      <c r="F97" s="38">
        <f>C97*49.6%</f>
        <v>124</v>
      </c>
      <c r="G97" s="38">
        <f>4*(D97+F97)+9*E97</f>
        <v>597.5</v>
      </c>
    </row>
    <row r="98" spans="1:7" hidden="1" x14ac:dyDescent="0.3"/>
    <row r="100" spans="1:7" x14ac:dyDescent="0.3">
      <c r="A100" s="114" t="s">
        <v>136</v>
      </c>
      <c r="B100" s="156">
        <f>C97+B95+125+98</f>
        <v>603</v>
      </c>
      <c r="C100" s="156"/>
      <c r="D100" s="58">
        <f>D97+D95+D84</f>
        <v>51.442425</v>
      </c>
      <c r="E100" s="58">
        <f t="shared" ref="E100:G100" si="4">E97+E95+E84</f>
        <v>17.024999999999999</v>
      </c>
      <c r="F100" s="58">
        <f t="shared" si="4"/>
        <v>163.0744</v>
      </c>
      <c r="G100" s="58">
        <f t="shared" si="4"/>
        <v>1011.2923000000001</v>
      </c>
    </row>
    <row r="103" spans="1:7" x14ac:dyDescent="0.3">
      <c r="A103" s="114" t="s">
        <v>111</v>
      </c>
      <c r="B103" s="156">
        <f>B100+B70+B25</f>
        <v>2063</v>
      </c>
      <c r="C103" s="156"/>
      <c r="D103" s="58">
        <f>D100+D70+D25</f>
        <v>128.16296499999999</v>
      </c>
      <c r="E103" s="58">
        <f>E100+E70+E25</f>
        <v>89.933300000000003</v>
      </c>
      <c r="F103" s="58">
        <f>F100+F70+F25</f>
        <v>438.3981</v>
      </c>
      <c r="G103" s="58">
        <f>G100+G70+G25</f>
        <v>3085.4939600000002</v>
      </c>
    </row>
  </sheetData>
  <mergeCells count="61">
    <mergeCell ref="B59:C59"/>
    <mergeCell ref="A6:B6"/>
    <mergeCell ref="B25:C25"/>
    <mergeCell ref="A29:G29"/>
    <mergeCell ref="A30:A31"/>
    <mergeCell ref="B30:C30"/>
    <mergeCell ref="D30:D31"/>
    <mergeCell ref="E30:E31"/>
    <mergeCell ref="F30:F31"/>
    <mergeCell ref="A7:A8"/>
    <mergeCell ref="B7:C7"/>
    <mergeCell ref="D7:D8"/>
    <mergeCell ref="E7:E8"/>
    <mergeCell ref="B38:C38"/>
    <mergeCell ref="A40:G40"/>
    <mergeCell ref="A41:A42"/>
    <mergeCell ref="B51:C51"/>
    <mergeCell ref="A53:G53"/>
    <mergeCell ref="B41:C41"/>
    <mergeCell ref="D41:D42"/>
    <mergeCell ref="E41:E42"/>
    <mergeCell ref="F41:F42"/>
    <mergeCell ref="A54:A55"/>
    <mergeCell ref="D54:D55"/>
    <mergeCell ref="E54:E55"/>
    <mergeCell ref="F54:F55"/>
    <mergeCell ref="B54:C54"/>
    <mergeCell ref="B84:C84"/>
    <mergeCell ref="A62:G62"/>
    <mergeCell ref="A63:A64"/>
    <mergeCell ref="B63:C63"/>
    <mergeCell ref="D63:D64"/>
    <mergeCell ref="E63:E64"/>
    <mergeCell ref="F63:F64"/>
    <mergeCell ref="B67:C67"/>
    <mergeCell ref="A75:A76"/>
    <mergeCell ref="B75:C75"/>
    <mergeCell ref="D75:D76"/>
    <mergeCell ref="E75:E76"/>
    <mergeCell ref="B70:C70"/>
    <mergeCell ref="B87:C87"/>
    <mergeCell ref="D87:D88"/>
    <mergeCell ref="E87:E88"/>
    <mergeCell ref="F87:F88"/>
    <mergeCell ref="B95:C95"/>
    <mergeCell ref="A1:G1"/>
    <mergeCell ref="A2:G3"/>
    <mergeCell ref="B100:C100"/>
    <mergeCell ref="B103:C103"/>
    <mergeCell ref="B23:C23"/>
    <mergeCell ref="B16:C16"/>
    <mergeCell ref="A18:G18"/>
    <mergeCell ref="A19:A20"/>
    <mergeCell ref="B19:C19"/>
    <mergeCell ref="D19:D20"/>
    <mergeCell ref="E19:E20"/>
    <mergeCell ref="F19:F20"/>
    <mergeCell ref="F75:F76"/>
    <mergeCell ref="F7:F8"/>
    <mergeCell ref="A86:G86"/>
    <mergeCell ref="A87:A88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ორშაბათი</vt:lpstr>
      <vt:lpstr>სამშაბათი</vt:lpstr>
      <vt:lpstr>ოთხშაბათი</vt:lpstr>
      <vt:lpstr>ხუთშაბათი</vt:lpstr>
      <vt:lpstr>პარასკევი</vt:lpstr>
      <vt:lpstr>შაბათი</vt:lpstr>
      <vt:lpstr>კვირა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Nana Goksadze</dc:creator>
  <cp:lastModifiedBy>Zaur Abashvili</cp:lastModifiedBy>
  <dcterms:created xsi:type="dcterms:W3CDTF">2022-08-30T12:46:53Z</dcterms:created>
  <dcterms:modified xsi:type="dcterms:W3CDTF">2023-07-12T15:52:19Z</dcterms:modified>
</cp:coreProperties>
</file>