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abashvili\Desktop\S  P  S\კვება (N388 და N393 ბრძანებებში ცვ)\ასატვირთი\N393 ბრძანება 21.10.22\"/>
    </mc:Choice>
  </mc:AlternateContent>
  <bookViews>
    <workbookView xWindow="0" yWindow="0" windowWidth="21570" windowHeight="8055"/>
  </bookViews>
  <sheets>
    <sheet name="ორშაბათი" sheetId="1" r:id="rId1"/>
    <sheet name="სამშაბათი" sheetId="2" r:id="rId2"/>
    <sheet name="ოთხშაბათი" sheetId="3" r:id="rId3"/>
    <sheet name="ხუთშაბათი" sheetId="4" r:id="rId4"/>
    <sheet name="პარასკევი" sheetId="5" r:id="rId5"/>
    <sheet name="შაბათი" sheetId="6" r:id="rId6"/>
    <sheet name="კვირა" sheetId="7" r:id="rId7"/>
  </sheets>
  <definedNames>
    <definedName name="_xlnm.Print_Area" localSheetId="4">პარასკევი!$A$1:$G$115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9" i="7" l="1"/>
  <c r="F109" i="7"/>
  <c r="G109" i="7"/>
  <c r="D109" i="7"/>
  <c r="B109" i="7"/>
  <c r="C18" i="7"/>
  <c r="F18" i="7" s="1"/>
  <c r="G112" i="5"/>
  <c r="F112" i="5"/>
  <c r="E112" i="5"/>
  <c r="D112" i="5"/>
  <c r="B112" i="5"/>
  <c r="C56" i="5"/>
  <c r="F56" i="5" s="1"/>
  <c r="C20" i="5"/>
  <c r="F20" i="5" s="1"/>
  <c r="C66" i="4"/>
  <c r="F66" i="4" s="1"/>
  <c r="F69" i="4" s="1"/>
  <c r="D66" i="4"/>
  <c r="G66" i="4" s="1"/>
  <c r="E66" i="4"/>
  <c r="C67" i="4"/>
  <c r="D67" i="4"/>
  <c r="E67" i="4"/>
  <c r="E69" i="4" s="1"/>
  <c r="F67" i="4"/>
  <c r="C68" i="4"/>
  <c r="F68" i="4" s="1"/>
  <c r="G68" i="4" s="1"/>
  <c r="D69" i="4"/>
  <c r="B71" i="4"/>
  <c r="C21" i="3"/>
  <c r="F21" i="3" s="1"/>
  <c r="C20" i="2"/>
  <c r="F20" i="2" s="1"/>
  <c r="E63" i="1"/>
  <c r="F63" i="1"/>
  <c r="G63" i="1"/>
  <c r="D63" i="1"/>
  <c r="B63" i="1"/>
  <c r="C60" i="1"/>
  <c r="F60" i="1" s="1"/>
  <c r="D18" i="7" l="1"/>
  <c r="E18" i="7"/>
  <c r="D20" i="5"/>
  <c r="G20" i="5" s="1"/>
  <c r="E20" i="5"/>
  <c r="D56" i="5"/>
  <c r="G56" i="5" s="1"/>
  <c r="G67" i="4"/>
  <c r="G69" i="4" s="1"/>
  <c r="D21" i="3"/>
  <c r="G21" i="3" s="1"/>
  <c r="E21" i="3"/>
  <c r="D20" i="2"/>
  <c r="G20" i="2" s="1"/>
  <c r="E20" i="2"/>
  <c r="D60" i="1"/>
  <c r="G60" i="1" s="1"/>
  <c r="B112" i="7"/>
  <c r="C56" i="7"/>
  <c r="B64" i="7" s="1"/>
  <c r="B22" i="7"/>
  <c r="E20" i="7"/>
  <c r="D20" i="7"/>
  <c r="C19" i="7"/>
  <c r="F19" i="7" s="1"/>
  <c r="E105" i="6"/>
  <c r="F105" i="6"/>
  <c r="G105" i="6"/>
  <c r="D105" i="6"/>
  <c r="B105" i="6"/>
  <c r="E102" i="6"/>
  <c r="F102" i="6"/>
  <c r="G102" i="6"/>
  <c r="D102" i="6"/>
  <c r="B102" i="6"/>
  <c r="E28" i="6"/>
  <c r="F28" i="6"/>
  <c r="G28" i="6"/>
  <c r="D28" i="6"/>
  <c r="B28" i="6"/>
  <c r="E110" i="5"/>
  <c r="C109" i="5"/>
  <c r="F109" i="5" s="1"/>
  <c r="G109" i="5" s="1"/>
  <c r="C108" i="5"/>
  <c r="D108" i="5" s="1"/>
  <c r="G87" i="5"/>
  <c r="C87" i="5"/>
  <c r="G86" i="5"/>
  <c r="C86" i="5"/>
  <c r="C85" i="5"/>
  <c r="D85" i="5" s="1"/>
  <c r="C84" i="5"/>
  <c r="F84" i="5" s="1"/>
  <c r="C83" i="5"/>
  <c r="D83" i="5" s="1"/>
  <c r="C82" i="5"/>
  <c r="D82" i="5" s="1"/>
  <c r="C81" i="5"/>
  <c r="E81" i="5" s="1"/>
  <c r="C75" i="5"/>
  <c r="E75" i="5" s="1"/>
  <c r="G75" i="5" s="1"/>
  <c r="C74" i="5"/>
  <c r="F74" i="5" s="1"/>
  <c r="C73" i="5"/>
  <c r="F73" i="5" s="1"/>
  <c r="B24" i="5"/>
  <c r="C13" i="5"/>
  <c r="D13" i="5" s="1"/>
  <c r="C12" i="5"/>
  <c r="E12" i="5" s="1"/>
  <c r="G12" i="5" s="1"/>
  <c r="C11" i="5"/>
  <c r="C10" i="5"/>
  <c r="E10" i="5" s="1"/>
  <c r="C9" i="5"/>
  <c r="D9" i="5" s="1"/>
  <c r="B103" i="4"/>
  <c r="B26" i="4"/>
  <c r="C22" i="4"/>
  <c r="F22" i="4" s="1"/>
  <c r="G22" i="4" s="1"/>
  <c r="C21" i="4"/>
  <c r="F21" i="4" s="1"/>
  <c r="C20" i="4"/>
  <c r="F20" i="4" s="1"/>
  <c r="G18" i="7" l="1"/>
  <c r="F23" i="4"/>
  <c r="G19" i="7"/>
  <c r="G20" i="7" s="1"/>
  <c r="F20" i="7"/>
  <c r="D110" i="5"/>
  <c r="F108" i="5"/>
  <c r="F110" i="5" s="1"/>
  <c r="E82" i="5"/>
  <c r="F82" i="5"/>
  <c r="F76" i="5"/>
  <c r="D74" i="5"/>
  <c r="G74" i="5" s="1"/>
  <c r="F83" i="5"/>
  <c r="G83" i="5" s="1"/>
  <c r="E73" i="5"/>
  <c r="E76" i="5" s="1"/>
  <c r="F85" i="5"/>
  <c r="G85" i="5" s="1"/>
  <c r="D73" i="5"/>
  <c r="D81" i="5"/>
  <c r="F81" i="5"/>
  <c r="D84" i="5"/>
  <c r="G84" i="5" s="1"/>
  <c r="F13" i="5"/>
  <c r="G13" i="5" s="1"/>
  <c r="F9" i="5"/>
  <c r="E9" i="5"/>
  <c r="E16" i="5" s="1"/>
  <c r="F10" i="5"/>
  <c r="D10" i="5"/>
  <c r="D20" i="4"/>
  <c r="E20" i="4"/>
  <c r="D21" i="4"/>
  <c r="E21" i="4"/>
  <c r="G108" i="5" l="1"/>
  <c r="G110" i="5" s="1"/>
  <c r="G82" i="5"/>
  <c r="F16" i="5"/>
  <c r="G9" i="5"/>
  <c r="E88" i="5"/>
  <c r="F88" i="5"/>
  <c r="G81" i="5"/>
  <c r="D88" i="5"/>
  <c r="G73" i="5"/>
  <c r="G76" i="5" s="1"/>
  <c r="D76" i="5"/>
  <c r="G10" i="5"/>
  <c r="D16" i="5"/>
  <c r="G21" i="4"/>
  <c r="E23" i="4"/>
  <c r="G20" i="4"/>
  <c r="D23" i="4"/>
  <c r="G23" i="4" l="1"/>
  <c r="G88" i="5"/>
  <c r="G16" i="5"/>
  <c r="B69" i="3" l="1"/>
  <c r="B25" i="3"/>
  <c r="E23" i="3"/>
  <c r="D23" i="3"/>
  <c r="C22" i="3"/>
  <c r="F22" i="3" s="1"/>
  <c r="B85" i="2"/>
  <c r="E83" i="2"/>
  <c r="F83" i="2"/>
  <c r="G83" i="2"/>
  <c r="D83" i="2"/>
  <c r="B83" i="2"/>
  <c r="G16" i="3"/>
  <c r="C16" i="3"/>
  <c r="C15" i="3"/>
  <c r="F15" i="3" s="1"/>
  <c r="C14" i="3"/>
  <c r="E14" i="3" s="1"/>
  <c r="C13" i="3"/>
  <c r="G12" i="3"/>
  <c r="C12" i="3"/>
  <c r="C11" i="3"/>
  <c r="E11" i="3" s="1"/>
  <c r="G11" i="3" s="1"/>
  <c r="C10" i="3"/>
  <c r="F10" i="3" s="1"/>
  <c r="G10" i="3" s="1"/>
  <c r="C9" i="3"/>
  <c r="F9" i="3" s="1"/>
  <c r="B24" i="2"/>
  <c r="G28" i="1"/>
  <c r="E22" i="2"/>
  <c r="D22" i="2"/>
  <c r="C21" i="2"/>
  <c r="F21" i="2" s="1"/>
  <c r="C24" i="1"/>
  <c r="F24" i="1" s="1"/>
  <c r="G24" i="1" s="1"/>
  <c r="C23" i="1"/>
  <c r="F23" i="1" s="1"/>
  <c r="C22" i="1"/>
  <c r="F22" i="1" s="1"/>
  <c r="F25" i="1" s="1"/>
  <c r="F14" i="3" l="1"/>
  <c r="F17" i="3"/>
  <c r="G22" i="3"/>
  <c r="G23" i="3" s="1"/>
  <c r="F23" i="3"/>
  <c r="F25" i="3" s="1"/>
  <c r="D15" i="3"/>
  <c r="G15" i="3" s="1"/>
  <c r="D9" i="3"/>
  <c r="E9" i="3"/>
  <c r="E17" i="3" s="1"/>
  <c r="E25" i="3" s="1"/>
  <c r="D14" i="3"/>
  <c r="G14" i="3" s="1"/>
  <c r="D23" i="1"/>
  <c r="G23" i="1" s="1"/>
  <c r="E23" i="1"/>
  <c r="F22" i="2"/>
  <c r="G21" i="2"/>
  <c r="G22" i="2" s="1"/>
  <c r="D22" i="1"/>
  <c r="E22" i="1"/>
  <c r="E25" i="1" s="1"/>
  <c r="C12" i="2"/>
  <c r="F12" i="2" s="1"/>
  <c r="C11" i="2"/>
  <c r="E11" i="2" s="1"/>
  <c r="G11" i="2" s="1"/>
  <c r="C10" i="2"/>
  <c r="C9" i="2"/>
  <c r="D9" i="2" s="1"/>
  <c r="C8" i="2"/>
  <c r="D8" i="2" s="1"/>
  <c r="B28" i="1"/>
  <c r="C16" i="1"/>
  <c r="F16" i="1" s="1"/>
  <c r="C13" i="1"/>
  <c r="E13" i="1" s="1"/>
  <c r="G13" i="1" s="1"/>
  <c r="C12" i="1"/>
  <c r="F12" i="1" s="1"/>
  <c r="G12" i="1" s="1"/>
  <c r="C11" i="1"/>
  <c r="E11" i="1" s="1"/>
  <c r="C10" i="1"/>
  <c r="D10" i="1" s="1"/>
  <c r="C9" i="1"/>
  <c r="F9" i="1" s="1"/>
  <c r="G9" i="3" l="1"/>
  <c r="G17" i="3" s="1"/>
  <c r="G25" i="3" s="1"/>
  <c r="D17" i="3"/>
  <c r="D25" i="3" s="1"/>
  <c r="D25" i="1"/>
  <c r="G22" i="1"/>
  <c r="G25" i="1" s="1"/>
  <c r="E10" i="1"/>
  <c r="F10" i="1"/>
  <c r="G10" i="1" s="1"/>
  <c r="E8" i="2"/>
  <c r="F8" i="2"/>
  <c r="D12" i="2"/>
  <c r="G12" i="2" s="1"/>
  <c r="E9" i="2"/>
  <c r="F9" i="2"/>
  <c r="E16" i="1"/>
  <c r="D16" i="1"/>
  <c r="G16" i="1" s="1"/>
  <c r="D11" i="1"/>
  <c r="G11" i="1" s="1"/>
  <c r="D9" i="1"/>
  <c r="E9" i="1"/>
  <c r="E17" i="1" s="1"/>
  <c r="E28" i="1" s="1"/>
  <c r="G9" i="2" l="1"/>
  <c r="E15" i="2"/>
  <c r="E24" i="2" s="1"/>
  <c r="E85" i="2" s="1"/>
  <c r="D15" i="2"/>
  <c r="D24" i="2" s="1"/>
  <c r="D85" i="2" s="1"/>
  <c r="F17" i="1"/>
  <c r="F28" i="1"/>
  <c r="G8" i="2"/>
  <c r="G15" i="2" s="1"/>
  <c r="G24" i="2" s="1"/>
  <c r="G85" i="2" s="1"/>
  <c r="F15" i="2"/>
  <c r="F24" i="2" s="1"/>
  <c r="F85" i="2" s="1"/>
  <c r="G9" i="1"/>
  <c r="G17" i="1" s="1"/>
  <c r="D17" i="1"/>
  <c r="D28" i="1" s="1"/>
  <c r="B82" i="2" l="1"/>
  <c r="B71" i="6" l="1"/>
  <c r="G16" i="6"/>
  <c r="C16" i="6"/>
  <c r="C15" i="6"/>
  <c r="F15" i="6" s="1"/>
  <c r="C14" i="6"/>
  <c r="E14" i="6" s="1"/>
  <c r="C13" i="6"/>
  <c r="G12" i="6"/>
  <c r="C12" i="6"/>
  <c r="C11" i="6"/>
  <c r="E11" i="6" s="1"/>
  <c r="G11" i="6" s="1"/>
  <c r="C10" i="6"/>
  <c r="F10" i="6" s="1"/>
  <c r="G10" i="6" s="1"/>
  <c r="C9" i="6"/>
  <c r="F9" i="6" s="1"/>
  <c r="B106" i="4"/>
  <c r="F87" i="4"/>
  <c r="E87" i="4"/>
  <c r="D87" i="4"/>
  <c r="G60" i="4"/>
  <c r="C60" i="4"/>
  <c r="C59" i="4"/>
  <c r="F59" i="4" s="1"/>
  <c r="G58" i="4"/>
  <c r="C58" i="4"/>
  <c r="C57" i="4"/>
  <c r="F57" i="4" s="1"/>
  <c r="C56" i="4"/>
  <c r="F56" i="4" s="1"/>
  <c r="C55" i="4"/>
  <c r="F55" i="4" s="1"/>
  <c r="C54" i="4"/>
  <c r="F54" i="4" s="1"/>
  <c r="B93" i="3"/>
  <c r="G66" i="3"/>
  <c r="C66" i="3"/>
  <c r="G65" i="3"/>
  <c r="C65" i="3"/>
  <c r="G64" i="3"/>
  <c r="C64" i="3"/>
  <c r="C63" i="3"/>
  <c r="F63" i="3" s="1"/>
  <c r="G63" i="3" s="1"/>
  <c r="G62" i="3"/>
  <c r="C62" i="3"/>
  <c r="C61" i="3"/>
  <c r="F61" i="3" s="1"/>
  <c r="C60" i="3"/>
  <c r="F60" i="3" s="1"/>
  <c r="C59" i="3"/>
  <c r="E59" i="3" s="1"/>
  <c r="G59" i="3" s="1"/>
  <c r="C58" i="3"/>
  <c r="E58" i="3" s="1"/>
  <c r="B96" i="3" l="1"/>
  <c r="D57" i="4"/>
  <c r="G57" i="4" s="1"/>
  <c r="F14" i="6"/>
  <c r="F17" i="6" s="1"/>
  <c r="D15" i="6"/>
  <c r="G15" i="6" s="1"/>
  <c r="D9" i="6"/>
  <c r="E9" i="6"/>
  <c r="E17" i="6" s="1"/>
  <c r="D14" i="6"/>
  <c r="G14" i="6" s="1"/>
  <c r="D59" i="4"/>
  <c r="D54" i="4"/>
  <c r="G54" i="4" s="1"/>
  <c r="D55" i="4"/>
  <c r="E55" i="4"/>
  <c r="G87" i="4"/>
  <c r="F61" i="4"/>
  <c r="E59" i="4"/>
  <c r="D56" i="4"/>
  <c r="F67" i="3"/>
  <c r="D60" i="3"/>
  <c r="E60" i="3"/>
  <c r="E67" i="3" s="1"/>
  <c r="D58" i="3"/>
  <c r="D61" i="3"/>
  <c r="G61" i="3" s="1"/>
  <c r="C52" i="6"/>
  <c r="E52" i="6" s="1"/>
  <c r="G51" i="6"/>
  <c r="C51" i="6"/>
  <c r="C50" i="6"/>
  <c r="E50" i="6" s="1"/>
  <c r="G50" i="6" s="1"/>
  <c r="C49" i="6"/>
  <c r="D49" i="6" s="1"/>
  <c r="F53" i="3"/>
  <c r="E53" i="3"/>
  <c r="D53" i="3"/>
  <c r="E61" i="4" l="1"/>
  <c r="G55" i="4"/>
  <c r="G53" i="3"/>
  <c r="E49" i="6"/>
  <c r="E53" i="6" s="1"/>
  <c r="G9" i="6"/>
  <c r="G17" i="6" s="1"/>
  <c r="D17" i="6"/>
  <c r="D61" i="4"/>
  <c r="G56" i="4"/>
  <c r="G59" i="4"/>
  <c r="G60" i="3"/>
  <c r="D67" i="3"/>
  <c r="G58" i="3"/>
  <c r="G67" i="3" s="1"/>
  <c r="F49" i="6"/>
  <c r="F53" i="6" s="1"/>
  <c r="D52" i="6"/>
  <c r="G52" i="6" s="1"/>
  <c r="G61" i="4" l="1"/>
  <c r="D53" i="6"/>
  <c r="G49" i="6"/>
  <c r="G53" i="6" s="1"/>
  <c r="B55" i="2"/>
  <c r="F106" i="7" l="1"/>
  <c r="G104" i="7"/>
  <c r="C104" i="7"/>
  <c r="G103" i="7"/>
  <c r="C103" i="7"/>
  <c r="C102" i="7"/>
  <c r="F102" i="7" s="1"/>
  <c r="C101" i="7"/>
  <c r="F101" i="7" s="1"/>
  <c r="C100" i="7"/>
  <c r="F100" i="7" s="1"/>
  <c r="C99" i="7"/>
  <c r="E99" i="7" s="1"/>
  <c r="C98" i="7"/>
  <c r="D98" i="7" s="1"/>
  <c r="G91" i="7"/>
  <c r="C91" i="7"/>
  <c r="G90" i="7"/>
  <c r="C90" i="7"/>
  <c r="G89" i="7"/>
  <c r="C89" i="7"/>
  <c r="C88" i="7"/>
  <c r="F88" i="7" s="1"/>
  <c r="G87" i="7"/>
  <c r="C87" i="7"/>
  <c r="C86" i="7"/>
  <c r="F86" i="7" s="1"/>
  <c r="C85" i="7"/>
  <c r="F85" i="7" s="1"/>
  <c r="C84" i="7"/>
  <c r="E84" i="7" s="1"/>
  <c r="G84" i="7" s="1"/>
  <c r="C83" i="7"/>
  <c r="E83" i="7" s="1"/>
  <c r="G76" i="7"/>
  <c r="C76" i="7"/>
  <c r="C75" i="7"/>
  <c r="E75" i="7" s="1"/>
  <c r="C74" i="7"/>
  <c r="E74" i="7" s="1"/>
  <c r="C73" i="7"/>
  <c r="F73" i="7" s="1"/>
  <c r="C72" i="7"/>
  <c r="F72" i="7" s="1"/>
  <c r="C71" i="7"/>
  <c r="D71" i="7" s="1"/>
  <c r="C70" i="7"/>
  <c r="F70" i="7" s="1"/>
  <c r="E62" i="7"/>
  <c r="C61" i="7"/>
  <c r="F61" i="7" s="1"/>
  <c r="F62" i="7" s="1"/>
  <c r="G13" i="7"/>
  <c r="C13" i="7"/>
  <c r="C12" i="7"/>
  <c r="E12" i="7" s="1"/>
  <c r="G12" i="7" s="1"/>
  <c r="G11" i="7"/>
  <c r="C11" i="7"/>
  <c r="C10" i="7"/>
  <c r="D10" i="7" s="1"/>
  <c r="C9" i="7"/>
  <c r="D9" i="7" s="1"/>
  <c r="C8" i="7"/>
  <c r="E8" i="7" s="1"/>
  <c r="G54" i="7"/>
  <c r="C54" i="7"/>
  <c r="C53" i="7"/>
  <c r="E53" i="7" s="1"/>
  <c r="G53" i="7" s="1"/>
  <c r="C52" i="7"/>
  <c r="E52" i="7" s="1"/>
  <c r="F56" i="7" l="1"/>
  <c r="D85" i="7"/>
  <c r="D83" i="7"/>
  <c r="E85" i="7"/>
  <c r="E92" i="7" s="1"/>
  <c r="D99" i="7"/>
  <c r="D86" i="7"/>
  <c r="G86" i="7" s="1"/>
  <c r="F99" i="7"/>
  <c r="D106" i="7"/>
  <c r="E106" i="7"/>
  <c r="E98" i="7"/>
  <c r="E105" i="7" s="1"/>
  <c r="F98" i="7"/>
  <c r="D100" i="7"/>
  <c r="G100" i="7" s="1"/>
  <c r="D101" i="7"/>
  <c r="G101" i="7" s="1"/>
  <c r="D102" i="7"/>
  <c r="G102" i="7" s="1"/>
  <c r="F92" i="7"/>
  <c r="G88" i="7"/>
  <c r="G83" i="7"/>
  <c r="F75" i="7"/>
  <c r="D70" i="7"/>
  <c r="E10" i="7"/>
  <c r="G10" i="7" s="1"/>
  <c r="E70" i="7"/>
  <c r="D72" i="7"/>
  <c r="F71" i="7"/>
  <c r="G71" i="7" s="1"/>
  <c r="E72" i="7"/>
  <c r="D73" i="7"/>
  <c r="G73" i="7" s="1"/>
  <c r="D74" i="7"/>
  <c r="G74" i="7" s="1"/>
  <c r="D75" i="7"/>
  <c r="F8" i="7"/>
  <c r="F14" i="7" s="1"/>
  <c r="F22" i="7" s="1"/>
  <c r="E55" i="7"/>
  <c r="F52" i="7"/>
  <c r="F55" i="7" s="1"/>
  <c r="E9" i="7"/>
  <c r="G9" i="7" s="1"/>
  <c r="D8" i="7"/>
  <c r="D61" i="7"/>
  <c r="D56" i="7"/>
  <c r="E56" i="7"/>
  <c r="D52" i="7"/>
  <c r="G99" i="7" l="1"/>
  <c r="G85" i="7"/>
  <c r="G92" i="7" s="1"/>
  <c r="F105" i="7"/>
  <c r="D92" i="7"/>
  <c r="G75" i="7"/>
  <c r="G106" i="7"/>
  <c r="D105" i="7"/>
  <c r="G98" i="7"/>
  <c r="G105" i="7" s="1"/>
  <c r="E77" i="7"/>
  <c r="G70" i="7"/>
  <c r="D77" i="7"/>
  <c r="F77" i="7"/>
  <c r="G72" i="7"/>
  <c r="E14" i="7"/>
  <c r="E22" i="7" s="1"/>
  <c r="G61" i="7"/>
  <c r="G62" i="7" s="1"/>
  <c r="D62" i="7"/>
  <c r="D14" i="7"/>
  <c r="D22" i="7" s="1"/>
  <c r="G8" i="7"/>
  <c r="G14" i="7" s="1"/>
  <c r="G22" i="7" s="1"/>
  <c r="G56" i="7"/>
  <c r="D55" i="7"/>
  <c r="G52" i="7"/>
  <c r="G55" i="7" s="1"/>
  <c r="G77" i="7" l="1"/>
  <c r="G46" i="7" l="1"/>
  <c r="C46" i="7"/>
  <c r="G45" i="7"/>
  <c r="C45" i="7"/>
  <c r="G44" i="7"/>
  <c r="C44" i="7"/>
  <c r="C43" i="7"/>
  <c r="E43" i="7" s="1"/>
  <c r="G43" i="7" s="1"/>
  <c r="C42" i="7"/>
  <c r="F42" i="7" s="1"/>
  <c r="C41" i="7"/>
  <c r="D41" i="7" s="1"/>
  <c r="C40" i="7"/>
  <c r="D40" i="7" s="1"/>
  <c r="C39" i="7"/>
  <c r="D39" i="7" s="1"/>
  <c r="G33" i="7"/>
  <c r="C33" i="7"/>
  <c r="G32" i="7"/>
  <c r="C32" i="7"/>
  <c r="C31" i="7"/>
  <c r="E31" i="7" s="1"/>
  <c r="G31" i="7" s="1"/>
  <c r="C30" i="7"/>
  <c r="F30" i="7" s="1"/>
  <c r="C29" i="7"/>
  <c r="F29" i="7" s="1"/>
  <c r="C28" i="7"/>
  <c r="F28" i="7" s="1"/>
  <c r="G42" i="7" l="1"/>
  <c r="D30" i="7"/>
  <c r="G30" i="7" s="1"/>
  <c r="D47" i="7"/>
  <c r="F34" i="7"/>
  <c r="E39" i="7"/>
  <c r="E47" i="7" s="1"/>
  <c r="F40" i="7"/>
  <c r="F41" i="7"/>
  <c r="G41" i="7" s="1"/>
  <c r="D28" i="7"/>
  <c r="E28" i="7"/>
  <c r="E34" i="7" s="1"/>
  <c r="D29" i="7"/>
  <c r="G29" i="7" s="1"/>
  <c r="E64" i="7" l="1"/>
  <c r="E112" i="7" s="1"/>
  <c r="F47" i="7"/>
  <c r="G39" i="7"/>
  <c r="D34" i="7"/>
  <c r="G28" i="7"/>
  <c r="G34" i="7" s="1"/>
  <c r="G40" i="7"/>
  <c r="F64" i="7" l="1"/>
  <c r="F112" i="7" s="1"/>
  <c r="D64" i="7"/>
  <c r="D112" i="7" s="1"/>
  <c r="G47" i="7"/>
  <c r="G64" i="7" l="1"/>
  <c r="G112" i="7" s="1"/>
  <c r="C24" i="6"/>
  <c r="F24" i="6" s="1"/>
  <c r="G24" i="6" s="1"/>
  <c r="C23" i="6"/>
  <c r="F23" i="6" s="1"/>
  <c r="C22" i="6"/>
  <c r="F22" i="6" s="1"/>
  <c r="F99" i="6"/>
  <c r="D99" i="6"/>
  <c r="E99" i="6"/>
  <c r="G97" i="6"/>
  <c r="C97" i="6"/>
  <c r="C96" i="6"/>
  <c r="E96" i="6" s="1"/>
  <c r="G96" i="6" s="1"/>
  <c r="G95" i="6"/>
  <c r="C95" i="6"/>
  <c r="C94" i="6"/>
  <c r="F94" i="6" s="1"/>
  <c r="C93" i="6"/>
  <c r="D93" i="6" s="1"/>
  <c r="C92" i="6"/>
  <c r="F92" i="6" s="1"/>
  <c r="C91" i="6"/>
  <c r="F91" i="6" s="1"/>
  <c r="C90" i="6"/>
  <c r="F90" i="6" s="1"/>
  <c r="C89" i="6"/>
  <c r="D89" i="6" s="1"/>
  <c r="G82" i="6"/>
  <c r="C82" i="6"/>
  <c r="C81" i="6"/>
  <c r="E81" i="6" s="1"/>
  <c r="C80" i="6"/>
  <c r="F80" i="6" s="1"/>
  <c r="G79" i="6"/>
  <c r="C79" i="6"/>
  <c r="C78" i="6"/>
  <c r="F78" i="6" s="1"/>
  <c r="C77" i="6"/>
  <c r="D77" i="6" s="1"/>
  <c r="E69" i="6"/>
  <c r="C68" i="6"/>
  <c r="F68" i="6" s="1"/>
  <c r="G68" i="6" s="1"/>
  <c r="C67" i="6"/>
  <c r="F67" i="6" s="1"/>
  <c r="G61" i="6"/>
  <c r="C61" i="6"/>
  <c r="C60" i="6"/>
  <c r="E60" i="6" s="1"/>
  <c r="G60" i="6" s="1"/>
  <c r="C59" i="6"/>
  <c r="F59" i="6" s="1"/>
  <c r="C58" i="6"/>
  <c r="F58" i="6" s="1"/>
  <c r="F44" i="6"/>
  <c r="G42" i="6"/>
  <c r="C42" i="6"/>
  <c r="G41" i="6"/>
  <c r="C41" i="6"/>
  <c r="G40" i="6"/>
  <c r="C40" i="6"/>
  <c r="C39" i="6"/>
  <c r="F39" i="6" s="1"/>
  <c r="G39" i="6" s="1"/>
  <c r="G38" i="6"/>
  <c r="C38" i="6"/>
  <c r="C37" i="6"/>
  <c r="F37" i="6" s="1"/>
  <c r="C36" i="6"/>
  <c r="F36" i="6" s="1"/>
  <c r="C35" i="6"/>
  <c r="E35" i="6" s="1"/>
  <c r="G35" i="6" s="1"/>
  <c r="C34" i="6"/>
  <c r="E34" i="6" s="1"/>
  <c r="E22" i="5"/>
  <c r="E24" i="5" s="1"/>
  <c r="D22" i="5"/>
  <c r="D24" i="5" s="1"/>
  <c r="C21" i="5"/>
  <c r="F21" i="5" s="1"/>
  <c r="G21" i="5" s="1"/>
  <c r="F103" i="5"/>
  <c r="G100" i="5"/>
  <c r="C100" i="5"/>
  <c r="C99" i="5"/>
  <c r="E99" i="5" s="1"/>
  <c r="G99" i="5" s="1"/>
  <c r="C97" i="5"/>
  <c r="F97" i="5" s="1"/>
  <c r="G96" i="5"/>
  <c r="C96" i="5"/>
  <c r="C95" i="5"/>
  <c r="D95" i="5" s="1"/>
  <c r="C94" i="5"/>
  <c r="E94" i="5" s="1"/>
  <c r="C63" i="5"/>
  <c r="E57" i="5"/>
  <c r="G54" i="5"/>
  <c r="C54" i="5"/>
  <c r="C53" i="5"/>
  <c r="E53" i="5" s="1"/>
  <c r="G53" i="5" s="1"/>
  <c r="G52" i="5"/>
  <c r="C52" i="5"/>
  <c r="C51" i="5"/>
  <c r="F51" i="5" s="1"/>
  <c r="C50" i="5"/>
  <c r="F50" i="5" s="1"/>
  <c r="G43" i="5"/>
  <c r="C43" i="5"/>
  <c r="C42" i="5"/>
  <c r="E42" i="5" s="1"/>
  <c r="G42" i="5" s="1"/>
  <c r="C41" i="5"/>
  <c r="D41" i="5" s="1"/>
  <c r="C40" i="5"/>
  <c r="D40" i="5" s="1"/>
  <c r="G34" i="5"/>
  <c r="C34" i="5"/>
  <c r="C33" i="5"/>
  <c r="D33" i="5" s="1"/>
  <c r="C32" i="5"/>
  <c r="E32" i="5" s="1"/>
  <c r="G32" i="5" s="1"/>
  <c r="C31" i="5"/>
  <c r="E31" i="5" s="1"/>
  <c r="G14" i="4"/>
  <c r="C14" i="4"/>
  <c r="C13" i="4"/>
  <c r="E13" i="4" s="1"/>
  <c r="G13" i="4" s="1"/>
  <c r="G12" i="4"/>
  <c r="C12" i="4"/>
  <c r="C11" i="4"/>
  <c r="D11" i="4" s="1"/>
  <c r="C10" i="4"/>
  <c r="D10" i="4" s="1"/>
  <c r="C9" i="4"/>
  <c r="F9" i="4" s="1"/>
  <c r="F15" i="4" s="1"/>
  <c r="F26" i="4" s="1"/>
  <c r="G94" i="4"/>
  <c r="C94" i="4"/>
  <c r="C93" i="4"/>
  <c r="E93" i="4" s="1"/>
  <c r="G93" i="4" s="1"/>
  <c r="C92" i="4"/>
  <c r="D92" i="4" s="1"/>
  <c r="G85" i="4"/>
  <c r="C85" i="4"/>
  <c r="C84" i="4"/>
  <c r="D84" i="4" s="1"/>
  <c r="G83" i="4"/>
  <c r="C83" i="4"/>
  <c r="G82" i="4"/>
  <c r="C82" i="4"/>
  <c r="C81" i="4"/>
  <c r="F81" i="4" s="1"/>
  <c r="G80" i="4"/>
  <c r="C80" i="4"/>
  <c r="C79" i="4"/>
  <c r="E79" i="4" s="1"/>
  <c r="G79" i="4" s="1"/>
  <c r="C78" i="4"/>
  <c r="D78" i="4" s="1"/>
  <c r="E101" i="4"/>
  <c r="C100" i="4"/>
  <c r="G46" i="4"/>
  <c r="C46" i="4"/>
  <c r="C45" i="4"/>
  <c r="E45" i="4" s="1"/>
  <c r="G45" i="4" s="1"/>
  <c r="C44" i="4"/>
  <c r="D44" i="4" s="1"/>
  <c r="F48" i="4"/>
  <c r="G38" i="4"/>
  <c r="C38" i="4"/>
  <c r="G37" i="4"/>
  <c r="C37" i="4"/>
  <c r="C36" i="4"/>
  <c r="F36" i="4" s="1"/>
  <c r="C35" i="4"/>
  <c r="F35" i="4" s="1"/>
  <c r="G35" i="4" s="1"/>
  <c r="C34" i="4"/>
  <c r="D34" i="4" s="1"/>
  <c r="C33" i="4"/>
  <c r="D33" i="4" s="1"/>
  <c r="B66" i="5" l="1"/>
  <c r="B115" i="5" s="1"/>
  <c r="E41" i="5"/>
  <c r="F25" i="6"/>
  <c r="D22" i="6"/>
  <c r="F69" i="6"/>
  <c r="E22" i="6"/>
  <c r="F40" i="5"/>
  <c r="D94" i="5"/>
  <c r="G94" i="5" s="1"/>
  <c r="E40" i="5"/>
  <c r="E11" i="4"/>
  <c r="G11" i="4" s="1"/>
  <c r="E95" i="5"/>
  <c r="E101" i="5" s="1"/>
  <c r="F95" i="5"/>
  <c r="F101" i="5" s="1"/>
  <c r="G99" i="6"/>
  <c r="F100" i="4"/>
  <c r="E10" i="4"/>
  <c r="G10" i="4" s="1"/>
  <c r="D23" i="6"/>
  <c r="E23" i="6"/>
  <c r="E93" i="6"/>
  <c r="F89" i="6"/>
  <c r="D92" i="6"/>
  <c r="G92" i="6" s="1"/>
  <c r="F93" i="6"/>
  <c r="D91" i="6"/>
  <c r="G91" i="6" s="1"/>
  <c r="D90" i="6"/>
  <c r="G90" i="6" s="1"/>
  <c r="F81" i="6"/>
  <c r="F83" i="6" s="1"/>
  <c r="E89" i="6"/>
  <c r="D94" i="6"/>
  <c r="G94" i="6" s="1"/>
  <c r="G78" i="6"/>
  <c r="E77" i="6"/>
  <c r="E83" i="6" s="1"/>
  <c r="D80" i="6"/>
  <c r="G80" i="6" s="1"/>
  <c r="D81" i="6"/>
  <c r="D67" i="6"/>
  <c r="F43" i="6"/>
  <c r="D44" i="6"/>
  <c r="D59" i="6"/>
  <c r="F62" i="6"/>
  <c r="D58" i="6"/>
  <c r="G58" i="6" s="1"/>
  <c r="E59" i="6"/>
  <c r="E62" i="6" s="1"/>
  <c r="E44" i="6"/>
  <c r="D36" i="6"/>
  <c r="D34" i="6"/>
  <c r="E36" i="6"/>
  <c r="E43" i="6" s="1"/>
  <c r="D37" i="6"/>
  <c r="G37" i="6" s="1"/>
  <c r="G22" i="5"/>
  <c r="G24" i="5" s="1"/>
  <c r="F22" i="5"/>
  <c r="F24" i="5" s="1"/>
  <c r="D97" i="5"/>
  <c r="G97" i="5" s="1"/>
  <c r="D103" i="5"/>
  <c r="E103" i="5"/>
  <c r="D51" i="5"/>
  <c r="G51" i="5" s="1"/>
  <c r="D57" i="5"/>
  <c r="D31" i="5"/>
  <c r="G31" i="5" s="1"/>
  <c r="E33" i="5"/>
  <c r="E35" i="5" s="1"/>
  <c r="F57" i="5"/>
  <c r="F55" i="5"/>
  <c r="D50" i="5"/>
  <c r="E50" i="5"/>
  <c r="E55" i="5" s="1"/>
  <c r="D44" i="5"/>
  <c r="F33" i="5"/>
  <c r="F35" i="5" s="1"/>
  <c r="F41" i="5"/>
  <c r="E84" i="4"/>
  <c r="F84" i="4"/>
  <c r="F86" i="4" s="1"/>
  <c r="D9" i="4"/>
  <c r="E9" i="4"/>
  <c r="E78" i="4"/>
  <c r="D81" i="4"/>
  <c r="G81" i="4" s="1"/>
  <c r="E92" i="4"/>
  <c r="E95" i="4" s="1"/>
  <c r="D95" i="4"/>
  <c r="F92" i="4"/>
  <c r="F95" i="4" s="1"/>
  <c r="D100" i="4"/>
  <c r="D48" i="4"/>
  <c r="D36" i="4"/>
  <c r="G36" i="4" s="1"/>
  <c r="D47" i="4"/>
  <c r="E44" i="4"/>
  <c r="F44" i="4"/>
  <c r="F47" i="4" s="1"/>
  <c r="E48" i="4"/>
  <c r="E33" i="4"/>
  <c r="E39" i="4" s="1"/>
  <c r="F34" i="4"/>
  <c r="F39" i="4" s="1"/>
  <c r="C32" i="3"/>
  <c r="D32" i="3" s="1"/>
  <c r="C33" i="3"/>
  <c r="D33" i="3" s="1"/>
  <c r="C34" i="3"/>
  <c r="G34" i="3"/>
  <c r="C35" i="3"/>
  <c r="G35" i="3"/>
  <c r="G51" i="3"/>
  <c r="C51" i="3"/>
  <c r="G50" i="3"/>
  <c r="C50" i="3"/>
  <c r="C49" i="3"/>
  <c r="F49" i="3" s="1"/>
  <c r="G48" i="3"/>
  <c r="C48" i="3"/>
  <c r="G47" i="3"/>
  <c r="C47" i="3"/>
  <c r="G46" i="3"/>
  <c r="C46" i="3"/>
  <c r="C45" i="3"/>
  <c r="E45" i="3" s="1"/>
  <c r="G45" i="3" s="1"/>
  <c r="C44" i="3"/>
  <c r="D44" i="3" s="1"/>
  <c r="C38" i="3"/>
  <c r="E38" i="3" s="1"/>
  <c r="G38" i="3" s="1"/>
  <c r="G37" i="3"/>
  <c r="C37" i="3"/>
  <c r="C36" i="3"/>
  <c r="F36" i="3" s="1"/>
  <c r="F91" i="3"/>
  <c r="G89" i="3"/>
  <c r="C89" i="3"/>
  <c r="C87" i="3"/>
  <c r="E87" i="3" s="1"/>
  <c r="C86" i="3"/>
  <c r="F86" i="3" s="1"/>
  <c r="C80" i="3"/>
  <c r="E80" i="3" s="1"/>
  <c r="G78" i="3"/>
  <c r="C78" i="3"/>
  <c r="G77" i="3"/>
  <c r="C77" i="3"/>
  <c r="C76" i="3"/>
  <c r="D76" i="3" s="1"/>
  <c r="C75" i="3"/>
  <c r="D75" i="3" s="1"/>
  <c r="G77" i="2"/>
  <c r="C77" i="2"/>
  <c r="G76" i="2"/>
  <c r="C76" i="2"/>
  <c r="C75" i="2"/>
  <c r="E75" i="2" s="1"/>
  <c r="G75" i="2" s="1"/>
  <c r="C74" i="2"/>
  <c r="E74" i="2" s="1"/>
  <c r="C73" i="2"/>
  <c r="D73" i="2" s="1"/>
  <c r="C72" i="2"/>
  <c r="D72" i="2" s="1"/>
  <c r="C65" i="2"/>
  <c r="E65" i="2" s="1"/>
  <c r="G65" i="2" s="1"/>
  <c r="G64" i="2"/>
  <c r="C64" i="2"/>
  <c r="C63" i="2"/>
  <c r="F63" i="2" s="1"/>
  <c r="F66" i="2" s="1"/>
  <c r="C62" i="2"/>
  <c r="E62" i="2" s="1"/>
  <c r="E53" i="2"/>
  <c r="C52" i="2"/>
  <c r="F52" i="2" s="1"/>
  <c r="F53" i="2" s="1"/>
  <c r="F48" i="2"/>
  <c r="G46" i="2"/>
  <c r="C46" i="2"/>
  <c r="C44" i="2"/>
  <c r="F44" i="2" s="1"/>
  <c r="C43" i="2"/>
  <c r="E43" i="2" s="1"/>
  <c r="C36" i="2"/>
  <c r="D36" i="2" s="1"/>
  <c r="G34" i="2"/>
  <c r="C34" i="2"/>
  <c r="G33" i="2"/>
  <c r="C33" i="2"/>
  <c r="C32" i="2"/>
  <c r="E32" i="2" s="1"/>
  <c r="C31" i="2"/>
  <c r="E31" i="2" s="1"/>
  <c r="F79" i="2"/>
  <c r="C98" i="1"/>
  <c r="B101" i="1" s="1"/>
  <c r="C96" i="1"/>
  <c r="D96" i="1" s="1"/>
  <c r="C90" i="1"/>
  <c r="E90" i="1" s="1"/>
  <c r="E89" i="1"/>
  <c r="D89" i="1"/>
  <c r="C87" i="1"/>
  <c r="E87" i="1" s="1"/>
  <c r="C81" i="1"/>
  <c r="F81" i="1" s="1"/>
  <c r="F82" i="1" s="1"/>
  <c r="G75" i="1"/>
  <c r="C75" i="1"/>
  <c r="C74" i="1"/>
  <c r="E74" i="1" s="1"/>
  <c r="C73" i="1"/>
  <c r="F73" i="1" s="1"/>
  <c r="G72" i="1"/>
  <c r="C72" i="1"/>
  <c r="C71" i="1"/>
  <c r="F71" i="1" s="1"/>
  <c r="C70" i="1"/>
  <c r="E70" i="1" s="1"/>
  <c r="C61" i="1"/>
  <c r="F57" i="1"/>
  <c r="D57" i="1"/>
  <c r="C55" i="1"/>
  <c r="E55" i="1" s="1"/>
  <c r="E58" i="1" s="1"/>
  <c r="C53" i="1"/>
  <c r="F53" i="1" s="1"/>
  <c r="C52" i="1"/>
  <c r="F52" i="1" s="1"/>
  <c r="C51" i="1"/>
  <c r="F51" i="1" s="1"/>
  <c r="C50" i="1"/>
  <c r="F50" i="1" s="1"/>
  <c r="G44" i="1"/>
  <c r="C44" i="1"/>
  <c r="G43" i="1"/>
  <c r="C43" i="1"/>
  <c r="C42" i="1"/>
  <c r="F42" i="1" s="1"/>
  <c r="C41" i="1"/>
  <c r="E41" i="1" s="1"/>
  <c r="C40" i="1"/>
  <c r="F40" i="1" s="1"/>
  <c r="C39" i="1"/>
  <c r="D39" i="1" s="1"/>
  <c r="C38" i="1"/>
  <c r="F38" i="1" s="1"/>
  <c r="G37" i="1"/>
  <c r="C37" i="1"/>
  <c r="C36" i="1"/>
  <c r="E36" i="1" s="1"/>
  <c r="G36" i="1" s="1"/>
  <c r="C35" i="1"/>
  <c r="E35" i="1" s="1"/>
  <c r="D66" i="5" l="1"/>
  <c r="D115" i="5"/>
  <c r="E44" i="5"/>
  <c r="E66" i="5" s="1"/>
  <c r="E115" i="5" s="1"/>
  <c r="B103" i="1"/>
  <c r="G89" i="1"/>
  <c r="E71" i="6"/>
  <c r="F71" i="6"/>
  <c r="G40" i="5"/>
  <c r="F44" i="5"/>
  <c r="F66" i="5" s="1"/>
  <c r="F115" i="5" s="1"/>
  <c r="G84" i="4"/>
  <c r="G22" i="6"/>
  <c r="F98" i="6"/>
  <c r="E98" i="6"/>
  <c r="G23" i="6"/>
  <c r="G36" i="6"/>
  <c r="E25" i="6"/>
  <c r="G93" i="6"/>
  <c r="G41" i="5"/>
  <c r="G44" i="5" s="1"/>
  <c r="G57" i="5"/>
  <c r="G66" i="5" s="1"/>
  <c r="G48" i="4"/>
  <c r="E86" i="4"/>
  <c r="E103" i="4" s="1"/>
  <c r="F32" i="3"/>
  <c r="G32" i="3" s="1"/>
  <c r="G95" i="5"/>
  <c r="G101" i="5" s="1"/>
  <c r="D61" i="1"/>
  <c r="F98" i="1"/>
  <c r="B100" i="1"/>
  <c r="G44" i="6"/>
  <c r="E15" i="4"/>
  <c r="F101" i="4"/>
  <c r="F103" i="4" s="1"/>
  <c r="F106" i="4" s="1"/>
  <c r="G78" i="4"/>
  <c r="D86" i="4"/>
  <c r="D25" i="6"/>
  <c r="D98" i="6"/>
  <c r="G89" i="6"/>
  <c r="D83" i="6"/>
  <c r="G81" i="6"/>
  <c r="G77" i="6"/>
  <c r="D69" i="6"/>
  <c r="G67" i="6"/>
  <c r="G69" i="6" s="1"/>
  <c r="D62" i="6"/>
  <c r="G59" i="6"/>
  <c r="G62" i="6" s="1"/>
  <c r="D43" i="6"/>
  <c r="G34" i="6"/>
  <c r="D101" i="5"/>
  <c r="G103" i="5"/>
  <c r="G115" i="5" s="1"/>
  <c r="D35" i="5"/>
  <c r="D55" i="5"/>
  <c r="G50" i="5"/>
  <c r="G55" i="5" s="1"/>
  <c r="G33" i="5"/>
  <c r="G35" i="5" s="1"/>
  <c r="D15" i="4"/>
  <c r="D26" i="4" s="1"/>
  <c r="G9" i="4"/>
  <c r="G15" i="4" s="1"/>
  <c r="G26" i="4" s="1"/>
  <c r="F71" i="4"/>
  <c r="G92" i="4"/>
  <c r="G95" i="4" s="1"/>
  <c r="G100" i="4"/>
  <c r="D101" i="4"/>
  <c r="D103" i="4" s="1"/>
  <c r="G34" i="4"/>
  <c r="D39" i="4"/>
  <c r="D71" i="4" s="1"/>
  <c r="G33" i="4"/>
  <c r="E47" i="4"/>
  <c r="E71" i="4" s="1"/>
  <c r="G44" i="4"/>
  <c r="G47" i="4" s="1"/>
  <c r="F33" i="3"/>
  <c r="F87" i="1"/>
  <c r="D87" i="3"/>
  <c r="E44" i="3"/>
  <c r="E52" i="3" s="1"/>
  <c r="E69" i="3" s="1"/>
  <c r="E75" i="3"/>
  <c r="D80" i="3"/>
  <c r="D81" i="3" s="1"/>
  <c r="E76" i="3"/>
  <c r="D36" i="3"/>
  <c r="F44" i="3"/>
  <c r="F52" i="3" s="1"/>
  <c r="F69" i="3" s="1"/>
  <c r="D49" i="3"/>
  <c r="G49" i="3" s="1"/>
  <c r="E36" i="3"/>
  <c r="E39" i="3" s="1"/>
  <c r="F80" i="3"/>
  <c r="F87" i="3"/>
  <c r="F90" i="3" s="1"/>
  <c r="D91" i="3"/>
  <c r="E91" i="3"/>
  <c r="F76" i="3"/>
  <c r="D86" i="3"/>
  <c r="E86" i="3"/>
  <c r="E90" i="3" s="1"/>
  <c r="F72" i="2"/>
  <c r="G72" i="2" s="1"/>
  <c r="F43" i="2"/>
  <c r="F47" i="2" s="1"/>
  <c r="E73" i="2"/>
  <c r="E78" i="2" s="1"/>
  <c r="F36" i="2"/>
  <c r="D74" i="2"/>
  <c r="D78" i="2" s="1"/>
  <c r="F74" i="2"/>
  <c r="D62" i="2"/>
  <c r="D63" i="2"/>
  <c r="F73" i="2"/>
  <c r="E63" i="2"/>
  <c r="E66" i="2" s="1"/>
  <c r="D52" i="2"/>
  <c r="F32" i="2"/>
  <c r="D48" i="2"/>
  <c r="D43" i="2"/>
  <c r="E48" i="2"/>
  <c r="E36" i="2"/>
  <c r="D44" i="2"/>
  <c r="D31" i="2"/>
  <c r="D32" i="2"/>
  <c r="E44" i="2"/>
  <c r="E47" i="2" s="1"/>
  <c r="D79" i="2"/>
  <c r="E79" i="2"/>
  <c r="E96" i="1"/>
  <c r="G96" i="1" s="1"/>
  <c r="F90" i="1"/>
  <c r="D98" i="1"/>
  <c r="G57" i="1"/>
  <c r="E98" i="1"/>
  <c r="E91" i="1"/>
  <c r="E81" i="1"/>
  <c r="E82" i="1" s="1"/>
  <c r="D87" i="1"/>
  <c r="D90" i="1"/>
  <c r="D81" i="1"/>
  <c r="D70" i="1"/>
  <c r="G70" i="1" s="1"/>
  <c r="E61" i="1"/>
  <c r="F61" i="1"/>
  <c r="D38" i="1"/>
  <c r="E39" i="1"/>
  <c r="D41" i="1"/>
  <c r="D50" i="1"/>
  <c r="G50" i="1" s="1"/>
  <c r="D52" i="1"/>
  <c r="G52" i="1" s="1"/>
  <c r="D55" i="1"/>
  <c r="E38" i="1"/>
  <c r="F41" i="1"/>
  <c r="F55" i="1"/>
  <c r="F58" i="1" s="1"/>
  <c r="D40" i="1"/>
  <c r="G40" i="1" s="1"/>
  <c r="D51" i="1"/>
  <c r="G51" i="1" s="1"/>
  <c r="D53" i="1"/>
  <c r="G53" i="1" s="1"/>
  <c r="E76" i="1"/>
  <c r="F74" i="1"/>
  <c r="F76" i="1" s="1"/>
  <c r="G71" i="1"/>
  <c r="D73" i="1"/>
  <c r="G73" i="1" s="1"/>
  <c r="D74" i="1"/>
  <c r="D35" i="1"/>
  <c r="F39" i="1"/>
  <c r="D42" i="1"/>
  <c r="G42" i="1" s="1"/>
  <c r="D106" i="4" l="1"/>
  <c r="G25" i="6"/>
  <c r="E26" i="4"/>
  <c r="E106" i="4" s="1"/>
  <c r="G86" i="4"/>
  <c r="E101" i="1"/>
  <c r="E82" i="2"/>
  <c r="D71" i="6"/>
  <c r="G81" i="1"/>
  <c r="G82" i="1" s="1"/>
  <c r="G43" i="6"/>
  <c r="G71" i="6" s="1"/>
  <c r="G98" i="6"/>
  <c r="D37" i="2"/>
  <c r="F39" i="3"/>
  <c r="G83" i="6"/>
  <c r="G33" i="3"/>
  <c r="G73" i="2"/>
  <c r="E100" i="1"/>
  <c r="G101" i="4"/>
  <c r="G103" i="4" s="1"/>
  <c r="F91" i="1"/>
  <c r="F100" i="1" s="1"/>
  <c r="G39" i="4"/>
  <c r="G90" i="1"/>
  <c r="G80" i="3"/>
  <c r="G36" i="3"/>
  <c r="E81" i="3"/>
  <c r="G91" i="3"/>
  <c r="G87" i="3"/>
  <c r="G75" i="3"/>
  <c r="D39" i="3"/>
  <c r="D52" i="3"/>
  <c r="D69" i="3" s="1"/>
  <c r="G44" i="3"/>
  <c r="G52" i="3" s="1"/>
  <c r="G69" i="3" s="1"/>
  <c r="F81" i="3"/>
  <c r="F93" i="3" s="1"/>
  <c r="F96" i="3" s="1"/>
  <c r="D90" i="3"/>
  <c r="G86" i="3"/>
  <c r="G76" i="3"/>
  <c r="G32" i="2"/>
  <c r="G43" i="2"/>
  <c r="G74" i="2"/>
  <c r="G36" i="2"/>
  <c r="F37" i="2"/>
  <c r="F55" i="2" s="1"/>
  <c r="G48" i="2"/>
  <c r="F78" i="2"/>
  <c r="F82" i="2" s="1"/>
  <c r="E37" i="2"/>
  <c r="E55" i="2" s="1"/>
  <c r="G62" i="2"/>
  <c r="D66" i="2"/>
  <c r="D82" i="2" s="1"/>
  <c r="G63" i="2"/>
  <c r="G52" i="2"/>
  <c r="G53" i="2" s="1"/>
  <c r="D53" i="2"/>
  <c r="G44" i="2"/>
  <c r="G31" i="2"/>
  <c r="D47" i="2"/>
  <c r="G79" i="2"/>
  <c r="G39" i="1"/>
  <c r="G98" i="1"/>
  <c r="G41" i="1"/>
  <c r="G87" i="1"/>
  <c r="D91" i="1"/>
  <c r="D82" i="1"/>
  <c r="E45" i="1"/>
  <c r="G61" i="1"/>
  <c r="G55" i="1"/>
  <c r="G58" i="1" s="1"/>
  <c r="G74" i="1"/>
  <c r="G76" i="1" s="1"/>
  <c r="G38" i="1"/>
  <c r="F45" i="1"/>
  <c r="D58" i="1"/>
  <c r="D76" i="1"/>
  <c r="G35" i="1"/>
  <c r="D45" i="1"/>
  <c r="D101" i="1" l="1"/>
  <c r="E103" i="1"/>
  <c r="F101" i="1"/>
  <c r="F103" i="1" s="1"/>
  <c r="G71" i="4"/>
  <c r="G106" i="4" s="1"/>
  <c r="D93" i="3"/>
  <c r="D96" i="3" s="1"/>
  <c r="E93" i="3"/>
  <c r="E96" i="3" s="1"/>
  <c r="G39" i="3"/>
  <c r="D55" i="2"/>
  <c r="G78" i="2"/>
  <c r="G37" i="2"/>
  <c r="G47" i="2"/>
  <c r="G45" i="1"/>
  <c r="D100" i="1"/>
  <c r="G91" i="1"/>
  <c r="G100" i="1" s="1"/>
  <c r="G81" i="3"/>
  <c r="G90" i="3"/>
  <c r="G93" i="3" s="1"/>
  <c r="G96" i="3" s="1"/>
  <c r="G66" i="2"/>
  <c r="G82" i="2" l="1"/>
  <c r="D103" i="1"/>
  <c r="G101" i="1"/>
  <c r="G103" i="1" s="1"/>
  <c r="G55" i="2"/>
</calcChain>
</file>

<file path=xl/sharedStrings.xml><?xml version="1.0" encoding="utf-8"?>
<sst xmlns="http://schemas.openxmlformats.org/spreadsheetml/2006/main" count="1012" uniqueCount="135">
  <si>
    <t>პროდუქტის დასახელება</t>
  </si>
  <si>
    <t>რაოდენობა, გ</t>
  </si>
  <si>
    <t>ცილები, გ</t>
  </si>
  <si>
    <t>ცხიმები, გ</t>
  </si>
  <si>
    <t>ნახშირწყლები, გ</t>
  </si>
  <si>
    <t>ენერგეტიკული ღირებულება</t>
  </si>
  <si>
    <t>ბრუტო</t>
  </si>
  <si>
    <t>ნეტო</t>
  </si>
  <si>
    <t>კკალ</t>
  </si>
  <si>
    <t>კარაქი</t>
  </si>
  <si>
    <t>შაქარი</t>
  </si>
  <si>
    <t>მარილი</t>
  </si>
  <si>
    <t>გამოსავალი</t>
  </si>
  <si>
    <t xml:space="preserve">პური </t>
  </si>
  <si>
    <t>კვერცხი</t>
  </si>
  <si>
    <t>ხახვი</t>
  </si>
  <si>
    <t>ქათმის ხორცი</t>
  </si>
  <si>
    <t>არაჟანი</t>
  </si>
  <si>
    <t>ნიორი</t>
  </si>
  <si>
    <t>მწვანილი</t>
  </si>
  <si>
    <t>ვინეგრეტი</t>
  </si>
  <si>
    <t>კარტოფილი</t>
  </si>
  <si>
    <t>ჭარხალი</t>
  </si>
  <si>
    <t>სტაფილო</t>
  </si>
  <si>
    <t>ბარდა</t>
  </si>
  <si>
    <t>მჟავე კიტრი ან მჟავე კომბოსტო</t>
  </si>
  <si>
    <t>ზეთი</t>
  </si>
  <si>
    <t>წიწიბურა</t>
  </si>
  <si>
    <t>ორშაბათი</t>
  </si>
  <si>
    <t>ზაფხულის ტოლმა საქონლის ხორცით</t>
  </si>
  <si>
    <t>ხორცი საქონლის</t>
  </si>
  <si>
    <t>ბრინჯი</t>
  </si>
  <si>
    <t>პომიდორი</t>
  </si>
  <si>
    <t>მწვანე ბულგარული წიწაკა</t>
  </si>
  <si>
    <t>50/250</t>
  </si>
  <si>
    <t>ბოსტნეულის  სალათი</t>
  </si>
  <si>
    <t>ნახშირწყლები</t>
  </si>
  <si>
    <t>კომბოსტო თავხვეულა</t>
  </si>
  <si>
    <t>წიწაკა ბულგარული</t>
  </si>
  <si>
    <t>მუხუდო მწვანე კონსერვირებული</t>
  </si>
  <si>
    <t>ლიმონი ცალობით</t>
  </si>
  <si>
    <t>ლობიანი</t>
  </si>
  <si>
    <t>ლობიო</t>
  </si>
  <si>
    <t>ხორბლის ფქვილი I ხარისხის</t>
  </si>
  <si>
    <t>საფუარი</t>
  </si>
  <si>
    <t>შავი წიწაკა</t>
  </si>
  <si>
    <t>ყავა  რძით</t>
  </si>
  <si>
    <t xml:space="preserve">ყავა  </t>
  </si>
  <si>
    <t>რძე</t>
  </si>
  <si>
    <t>პური თეთრი</t>
  </si>
  <si>
    <t>ქათმის ჩახოხბილი</t>
  </si>
  <si>
    <t>ტომატ–პასტა</t>
  </si>
  <si>
    <t>მოხარშული  სოსისი წიწიბურას გარნირით</t>
  </si>
  <si>
    <t>სოსისი</t>
  </si>
  <si>
    <t>წიწიბურას  გარნირი</t>
  </si>
  <si>
    <t>წყალი</t>
  </si>
  <si>
    <t>ცხოველური ცხიმი</t>
  </si>
  <si>
    <t>ყველი იმერული</t>
  </si>
  <si>
    <t>სამშაბათი</t>
  </si>
  <si>
    <t>შავი  პილპილი</t>
  </si>
  <si>
    <t>კვერცხი (ცალობით)</t>
  </si>
  <si>
    <t>ტყემლის საწებელი</t>
  </si>
  <si>
    <t xml:space="preserve"> ხილის წვენი</t>
  </si>
  <si>
    <t>ქათამი  მოხარშული,  შებრაწული  ნივრით  და  არაჟნით</t>
  </si>
  <si>
    <t>ქათმის ხორცი მოხარშული</t>
  </si>
  <si>
    <t xml:space="preserve">არაჟანი </t>
  </si>
  <si>
    <t>სანელებლები</t>
  </si>
  <si>
    <t xml:space="preserve">კარაქი </t>
  </si>
  <si>
    <t>თევზი   შემწვარი</t>
  </si>
  <si>
    <t>თევზი</t>
  </si>
  <si>
    <t>ფქვილი</t>
  </si>
  <si>
    <t xml:space="preserve"> ბოსტნეულის გარნირი</t>
  </si>
  <si>
    <t>ოთხშაბათი</t>
  </si>
  <si>
    <t>კომბოსტოს მწნილი</t>
  </si>
  <si>
    <t>კომბოსტო</t>
  </si>
  <si>
    <t>წიწაკა</t>
  </si>
  <si>
    <t>ლობიო ამოლესილი</t>
  </si>
  <si>
    <t>ხაჭოს   მობრაწულა</t>
  </si>
  <si>
    <t>ხაჭო</t>
  </si>
  <si>
    <t>ვანილი</t>
  </si>
  <si>
    <t>ხორბლის ფქვილი</t>
  </si>
  <si>
    <t>ხუთშაბათი</t>
  </si>
  <si>
    <t xml:space="preserve"> ხორცი ჩაშუშული  შავი  ქლიავით</t>
  </si>
  <si>
    <t>შავი  ქლიავი</t>
  </si>
  <si>
    <t>კიტრი</t>
  </si>
  <si>
    <t>უმი ბოსტნეულის სალათი</t>
  </si>
  <si>
    <t>კომპოტი ჩირის</t>
  </si>
  <si>
    <t>ჩირი სხვადახვა</t>
  </si>
  <si>
    <t>შემწვარი  კარტოფილი გარნირი</t>
  </si>
  <si>
    <t>149/220</t>
  </si>
  <si>
    <t>მაკარონის გარნირი</t>
  </si>
  <si>
    <t>მაკარონი</t>
  </si>
  <si>
    <t>ხაჭაპური</t>
  </si>
  <si>
    <t>კარაქი ნაღების</t>
  </si>
  <si>
    <t>პარასკევი</t>
  </si>
  <si>
    <t>შემწვარი თევზის ფილე კარტოფილის პიურეს გარნირით</t>
  </si>
  <si>
    <t>თევზის ფილე</t>
  </si>
  <si>
    <t>კარტოფილის პიურე (გარნირი)</t>
  </si>
  <si>
    <t>სალათი პომიდვრის მწვანე ხახვით</t>
  </si>
  <si>
    <t>მწვანე ხახვი</t>
  </si>
  <si>
    <t>ოხრახუში</t>
  </si>
  <si>
    <t>კატლეტი  საქონლის  ხორცის</t>
  </si>
  <si>
    <t>საქონლის ხორცი</t>
  </si>
  <si>
    <t>პური   თეთრი</t>
  </si>
  <si>
    <t>შაბათი</t>
  </si>
  <si>
    <t>ხორცი ჩახრაკული ხახვით "გულიაში"</t>
  </si>
  <si>
    <t>სანელებლები (წიწაკა)</t>
  </si>
  <si>
    <t>ტომატ-პასტა</t>
  </si>
  <si>
    <t>ხორცის ბულიონი</t>
  </si>
  <si>
    <t>54/200</t>
  </si>
  <si>
    <t>სტაფილო-კარტოფილის გარნირი</t>
  </si>
  <si>
    <t>კიტრის და პომიდვრის სალათი ზეთით</t>
  </si>
  <si>
    <t>კვირა</t>
  </si>
  <si>
    <t>ხორცის რაგუ "ოჯახური"</t>
  </si>
  <si>
    <t>საქონლის ხორცი (I კატეგორიის)</t>
  </si>
  <si>
    <t>შემწვარი კარტოფილი</t>
  </si>
  <si>
    <t>სალათი "ზაფხული"</t>
  </si>
  <si>
    <t>კარტოფილი (შეიძლება ახალი)</t>
  </si>
  <si>
    <t>აჯაფსანდალი</t>
  </si>
  <si>
    <t>I  კვება</t>
  </si>
  <si>
    <t xml:space="preserve">I  კვება სულ </t>
  </si>
  <si>
    <t xml:space="preserve">IIკვება სულ </t>
  </si>
  <si>
    <t xml:space="preserve"> სულ  დღეში</t>
  </si>
  <si>
    <t>დანართი №11.2</t>
  </si>
  <si>
    <t>მაკარონი გახეხილი ყველით</t>
  </si>
  <si>
    <t>ყველი</t>
  </si>
  <si>
    <t>კარტოფილის    ღვეზელი</t>
  </si>
  <si>
    <t>სამსახურის პენიტენციურ დაწესებულებებსა და მათ ტერიტორიაზე მყოფ და დეპარტამენტის გარე დაცვისა და ინფორმაციულ-ტექნიკური უსაფრთხოების მთავარი სამმართველოს წვევამდელთა მომზადების განყოფილების მოსამსახურეთა სამჯერადი  კვების ერთკვირიანი მენიუ 
გაზაფხული - ზაფხული 
II კვირა</t>
  </si>
  <si>
    <t xml:space="preserve">II  კვება სულ </t>
  </si>
  <si>
    <t xml:space="preserve">III  კვება სულ </t>
  </si>
  <si>
    <t>III კვება</t>
  </si>
  <si>
    <t xml:space="preserve">III კვება სულ </t>
  </si>
  <si>
    <t>II კვება</t>
  </si>
  <si>
    <t xml:space="preserve">I კვება სულ </t>
  </si>
  <si>
    <t xml:space="preserve">II კვება სულ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</si>
</sst>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Sylfaen"/>
      <family val="1"/>
    </font>
    <font>
      <sz val="10"/>
      <color theme="1"/>
      <name val="Sylfaen"/>
      <family val="1"/>
    </font>
    <font>
      <sz val="11"/>
      <color theme="1"/>
      <name val="Sylfaen"/>
      <family val="1"/>
    </font>
    <font>
      <b/>
      <sz val="10"/>
      <color theme="1"/>
      <name val="Sylfaen"/>
      <family val="1"/>
    </font>
    <font>
      <b/>
      <sz val="10"/>
      <color rgb="FFFF0000"/>
      <name val="Sylfaen"/>
      <family val="1"/>
    </font>
    <font>
      <b/>
      <sz val="11"/>
      <name val="Sylfaen"/>
      <family val="1"/>
    </font>
    <font>
      <sz val="11"/>
      <name val="Sylfaen"/>
      <family val="1"/>
    </font>
    <font>
      <sz val="10"/>
      <color theme="1"/>
      <name val="Calibri"/>
      <family val="2"/>
      <scheme val="minor"/>
    </font>
    <font>
      <b/>
      <sz val="10"/>
      <color theme="1"/>
      <name val="Sylfaen"/>
      <family val="1"/>
      <charset val="204"/>
    </font>
    <font>
      <b/>
      <sz val="10"/>
      <name val="Sylfaen"/>
      <family val="1"/>
    </font>
    <font>
      <sz val="10"/>
      <name val="Sylfae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3">
    <xf numFmtId="0" fontId="0" fillId="0" borderId="0" xfId="0"/>
    <xf numFmtId="0" fontId="3" fillId="0" borderId="0" xfId="0" applyFont="1"/>
    <xf numFmtId="0" fontId="2" fillId="0" borderId="2" xfId="0" applyFont="1" applyBorder="1" applyAlignment="1">
      <alignment horizontal="center" vertical="center" wrapText="1"/>
    </xf>
    <xf numFmtId="0" fontId="0" fillId="0" borderId="0" xfId="0" applyFont="1"/>
    <xf numFmtId="0" fontId="3" fillId="4" borderId="0" xfId="0" applyFont="1" applyFill="1"/>
    <xf numFmtId="0" fontId="4" fillId="0" borderId="0" xfId="0" applyFont="1"/>
    <xf numFmtId="0" fontId="5" fillId="0" borderId="0" xfId="0" applyFont="1"/>
    <xf numFmtId="0" fontId="3" fillId="0" borderId="0" xfId="0" applyFont="1" applyFill="1"/>
    <xf numFmtId="0" fontId="3" fillId="0" borderId="0" xfId="0" applyFont="1" applyAlignment="1">
      <alignment wrapText="1"/>
    </xf>
    <xf numFmtId="0" fontId="3" fillId="0" borderId="0" xfId="0" applyFont="1" applyFill="1" applyAlignment="1">
      <alignment wrapText="1"/>
    </xf>
    <xf numFmtId="0" fontId="6" fillId="0" borderId="0" xfId="0" applyFont="1" applyAlignment="1">
      <alignment wrapText="1"/>
    </xf>
    <xf numFmtId="0" fontId="7" fillId="3" borderId="0" xfId="0" applyFont="1" applyFill="1"/>
    <xf numFmtId="0" fontId="8" fillId="0" borderId="0" xfId="0" applyFont="1"/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justify" vertical="top" wrapText="1"/>
    </xf>
    <xf numFmtId="2" fontId="8" fillId="0" borderId="2" xfId="0" applyNumberFormat="1" applyFont="1" applyBorder="1" applyAlignment="1">
      <alignment horizontal="center" vertical="center"/>
    </xf>
    <xf numFmtId="2" fontId="7" fillId="0" borderId="2" xfId="0" applyNumberFormat="1" applyFont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7" fillId="0" borderId="0" xfId="0" applyFont="1"/>
    <xf numFmtId="0" fontId="8" fillId="0" borderId="0" xfId="0" applyFont="1" applyBorder="1"/>
    <xf numFmtId="0" fontId="7" fillId="0" borderId="0" xfId="0" applyFont="1" applyFill="1"/>
    <xf numFmtId="0" fontId="8" fillId="0" borderId="0" xfId="0" applyFont="1" applyFill="1"/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/>
    </xf>
    <xf numFmtId="2" fontId="8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justify" vertical="top" wrapText="1"/>
    </xf>
    <xf numFmtId="2" fontId="7" fillId="0" borderId="2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justify" vertical="top" wrapText="1"/>
    </xf>
    <xf numFmtId="0" fontId="7" fillId="0" borderId="7" xfId="0" applyFont="1" applyBorder="1" applyAlignment="1">
      <alignment horizontal="center" vertical="center" wrapText="1"/>
    </xf>
    <xf numFmtId="2" fontId="7" fillId="0" borderId="7" xfId="0" applyNumberFormat="1" applyFont="1" applyBorder="1" applyAlignment="1">
      <alignment horizontal="center" vertical="center"/>
    </xf>
    <xf numFmtId="0" fontId="2" fillId="2" borderId="2" xfId="0" applyFont="1" applyFill="1" applyBorder="1"/>
    <xf numFmtId="2" fontId="7" fillId="2" borderId="2" xfId="0" applyNumberFormat="1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justify" vertical="top" wrapText="1"/>
    </xf>
    <xf numFmtId="2" fontId="7" fillId="0" borderId="0" xfId="0" applyNumberFormat="1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2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justify" vertical="top" wrapText="1"/>
    </xf>
    <xf numFmtId="0" fontId="4" fillId="0" borderId="0" xfId="0" applyFont="1" applyFill="1"/>
    <xf numFmtId="0" fontId="2" fillId="0" borderId="2" xfId="0" applyFont="1" applyFill="1" applyBorder="1" applyAlignment="1">
      <alignment horizontal="justify" vertical="top" wrapText="1"/>
    </xf>
    <xf numFmtId="2" fontId="2" fillId="0" borderId="2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2" fontId="7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/>
    <xf numFmtId="2" fontId="7" fillId="2" borderId="2" xfId="0" applyNumberFormat="1" applyFont="1" applyFill="1" applyBorder="1" applyAlignment="1">
      <alignment horizontal="center" vertical="center"/>
    </xf>
    <xf numFmtId="2" fontId="5" fillId="2" borderId="2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5" fillId="0" borderId="0" xfId="0" applyFont="1" applyAlignment="1">
      <alignment horizontal="center"/>
    </xf>
    <xf numFmtId="0" fontId="5" fillId="3" borderId="0" xfId="0" applyFont="1" applyFill="1"/>
    <xf numFmtId="0" fontId="5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top" wrapText="1"/>
    </xf>
    <xf numFmtId="2" fontId="3" fillId="0" borderId="2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5" fillId="2" borderId="2" xfId="0" applyFont="1" applyFill="1" applyBorder="1"/>
    <xf numFmtId="2" fontId="3" fillId="2" borderId="2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justify" vertical="top" wrapText="1"/>
    </xf>
    <xf numFmtId="2" fontId="3" fillId="0" borderId="0" xfId="0" applyNumberFormat="1" applyFont="1" applyBorder="1" applyAlignment="1">
      <alignment horizontal="center" vertical="center"/>
    </xf>
    <xf numFmtId="0" fontId="5" fillId="3" borderId="0" xfId="0" applyFont="1" applyFill="1" applyBorder="1" applyAlignment="1">
      <alignment horizontal="justify" vertical="top" wrapText="1"/>
    </xf>
    <xf numFmtId="0" fontId="5" fillId="0" borderId="1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2" fontId="5" fillId="0" borderId="0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justify" vertical="top" wrapText="1"/>
    </xf>
    <xf numFmtId="0" fontId="5" fillId="0" borderId="2" xfId="0" applyFont="1" applyFill="1" applyBorder="1" applyAlignment="1">
      <alignment vertical="center"/>
    </xf>
    <xf numFmtId="2" fontId="5" fillId="2" borderId="2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5" fillId="2" borderId="2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2" fontId="7" fillId="0" borderId="5" xfId="0" applyNumberFormat="1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2" fontId="7" fillId="2" borderId="2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2" fontId="2" fillId="0" borderId="5" xfId="0" applyNumberFormat="1" applyFont="1" applyFill="1" applyBorder="1" applyAlignment="1">
      <alignment horizontal="center" vertical="center" wrapText="1"/>
    </xf>
    <xf numFmtId="2" fontId="2" fillId="0" borderId="6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2" fontId="3" fillId="2" borderId="2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2" fontId="5" fillId="2" borderId="2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right" vertical="center" wrapText="1"/>
    </xf>
    <xf numFmtId="0" fontId="5" fillId="0" borderId="0" xfId="0" applyFont="1" applyAlignment="1">
      <alignment horizontal="center"/>
    </xf>
    <xf numFmtId="2" fontId="5" fillId="0" borderId="5" xfId="0" applyNumberFormat="1" applyFont="1" applyBorder="1" applyAlignment="1">
      <alignment horizontal="center" vertical="center"/>
    </xf>
    <xf numFmtId="2" fontId="5" fillId="0" borderId="6" xfId="0" applyNumberFormat="1" applyFont="1" applyBorder="1" applyAlignment="1">
      <alignment horizontal="center" vertical="center"/>
    </xf>
    <xf numFmtId="0" fontId="5" fillId="3" borderId="0" xfId="0" applyFont="1" applyFill="1" applyAlignment="1">
      <alignment wrapText="1"/>
    </xf>
    <xf numFmtId="0" fontId="3" fillId="0" borderId="2" xfId="0" applyFont="1" applyFill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2" fontId="5" fillId="0" borderId="7" xfId="0" applyNumberFormat="1" applyFont="1" applyBorder="1" applyAlignment="1">
      <alignment horizontal="center" vertical="center"/>
    </xf>
    <xf numFmtId="0" fontId="9" fillId="0" borderId="0" xfId="0" applyFont="1" applyAlignment="1">
      <alignment wrapText="1"/>
    </xf>
    <xf numFmtId="0" fontId="5" fillId="2" borderId="2" xfId="0" applyFont="1" applyFill="1" applyBorder="1" applyAlignment="1">
      <alignment wrapText="1"/>
    </xf>
    <xf numFmtId="0" fontId="5" fillId="0" borderId="0" xfId="0" applyFont="1" applyAlignment="1">
      <alignment wrapText="1"/>
    </xf>
    <xf numFmtId="0" fontId="3" fillId="0" borderId="2" xfId="0" applyFont="1" applyFill="1" applyBorder="1" applyAlignment="1">
      <alignment horizontal="justify" vertical="top" wrapText="1"/>
    </xf>
    <xf numFmtId="2" fontId="3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vertical="center" wrapText="1"/>
    </xf>
    <xf numFmtId="2" fontId="10" fillId="0" borderId="2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2" fillId="0" borderId="0" xfId="0" applyFont="1" applyFill="1"/>
    <xf numFmtId="0" fontId="12" fillId="0" borderId="0" xfId="0" applyFont="1"/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justify" vertical="top" wrapText="1"/>
    </xf>
    <xf numFmtId="2" fontId="12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justify" vertical="top" wrapText="1"/>
    </xf>
    <xf numFmtId="2" fontId="11" fillId="0" borderId="5" xfId="0" applyNumberFormat="1" applyFont="1" applyBorder="1" applyAlignment="1">
      <alignment horizontal="center" vertical="center"/>
    </xf>
    <xf numFmtId="2" fontId="11" fillId="0" borderId="6" xfId="0" applyNumberFormat="1" applyFont="1" applyBorder="1" applyAlignment="1">
      <alignment horizontal="center" vertical="center"/>
    </xf>
    <xf numFmtId="2" fontId="11" fillId="0" borderId="2" xfId="0" applyNumberFormat="1" applyFont="1" applyBorder="1" applyAlignment="1">
      <alignment horizontal="center" vertical="center"/>
    </xf>
    <xf numFmtId="0" fontId="5" fillId="2" borderId="0" xfId="0" applyFont="1" applyFill="1"/>
    <xf numFmtId="0" fontId="5" fillId="0" borderId="1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2" fontId="3" fillId="0" borderId="2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2" fontId="3" fillId="0" borderId="0" xfId="0" applyNumberFormat="1" applyFont="1" applyBorder="1" applyAlignment="1">
      <alignment horizontal="center" vertical="center" wrapText="1"/>
    </xf>
    <xf numFmtId="0" fontId="10" fillId="0" borderId="2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2" fontId="10" fillId="0" borderId="0" xfId="0" applyNumberFormat="1" applyFont="1" applyBorder="1" applyAlignment="1">
      <alignment horizontal="center" vertical="center"/>
    </xf>
    <xf numFmtId="0" fontId="5" fillId="2" borderId="0" xfId="0" applyFont="1" applyFill="1" applyBorder="1" applyAlignment="1">
      <alignment horizontal="justify" vertical="top" wrapText="1"/>
    </xf>
    <xf numFmtId="0" fontId="5" fillId="0" borderId="1" xfId="0" applyFont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2" fontId="12" fillId="0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2" fontId="5" fillId="0" borderId="5" xfId="0" applyNumberFormat="1" applyFont="1" applyBorder="1" applyAlignment="1">
      <alignment horizontal="center" vertical="center" wrapText="1"/>
    </xf>
    <xf numFmtId="2" fontId="5" fillId="0" borderId="6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justify" vertical="top" wrapText="1"/>
    </xf>
    <xf numFmtId="2" fontId="5" fillId="0" borderId="0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2" borderId="0" xfId="0" applyFont="1" applyFill="1" applyAlignment="1">
      <alignment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2" fontId="3" fillId="2" borderId="5" xfId="0" applyNumberFormat="1" applyFont="1" applyFill="1" applyBorder="1" applyAlignment="1">
      <alignment horizontal="center" vertical="center" wrapText="1"/>
    </xf>
    <xf numFmtId="2" fontId="3" fillId="2" borderId="6" xfId="0" applyNumberFormat="1" applyFont="1" applyFill="1" applyBorder="1" applyAlignment="1">
      <alignment horizontal="center" vertical="center" wrapText="1"/>
    </xf>
    <xf numFmtId="2" fontId="3" fillId="2" borderId="2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top" wrapText="1"/>
    </xf>
    <xf numFmtId="2" fontId="3" fillId="0" borderId="6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wrapText="1"/>
    </xf>
    <xf numFmtId="2" fontId="5" fillId="0" borderId="6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6"/>
  <sheetViews>
    <sheetView tabSelected="1" zoomScale="120" zoomScaleNormal="120" zoomScaleSheetLayoutView="106" workbookViewId="0">
      <selection activeCell="A31" sqref="A31"/>
    </sheetView>
  </sheetViews>
  <sheetFormatPr defaultRowHeight="15" x14ac:dyDescent="0.3"/>
  <cols>
    <col min="1" max="7" width="16.5703125" style="8" customWidth="1"/>
    <col min="8" max="256" width="9.140625" style="1"/>
    <col min="257" max="257" width="34.85546875" style="1" bestFit="1" customWidth="1"/>
    <col min="258" max="258" width="12" style="1" customWidth="1"/>
    <col min="259" max="259" width="12.5703125" style="1" customWidth="1"/>
    <col min="260" max="260" width="12.28515625" style="1" customWidth="1"/>
    <col min="261" max="261" width="11.28515625" style="1" customWidth="1"/>
    <col min="262" max="262" width="16.140625" style="1" customWidth="1"/>
    <col min="263" max="263" width="20.42578125" style="1" customWidth="1"/>
    <col min="264" max="512" width="9.140625" style="1"/>
    <col min="513" max="513" width="34.85546875" style="1" bestFit="1" customWidth="1"/>
    <col min="514" max="514" width="12" style="1" customWidth="1"/>
    <col min="515" max="515" width="12.5703125" style="1" customWidth="1"/>
    <col min="516" max="516" width="12.28515625" style="1" customWidth="1"/>
    <col min="517" max="517" width="11.28515625" style="1" customWidth="1"/>
    <col min="518" max="518" width="16.140625" style="1" customWidth="1"/>
    <col min="519" max="519" width="20.42578125" style="1" customWidth="1"/>
    <col min="520" max="768" width="9.140625" style="1"/>
    <col min="769" max="769" width="34.85546875" style="1" bestFit="1" customWidth="1"/>
    <col min="770" max="770" width="12" style="1" customWidth="1"/>
    <col min="771" max="771" width="12.5703125" style="1" customWidth="1"/>
    <col min="772" max="772" width="12.28515625" style="1" customWidth="1"/>
    <col min="773" max="773" width="11.28515625" style="1" customWidth="1"/>
    <col min="774" max="774" width="16.140625" style="1" customWidth="1"/>
    <col min="775" max="775" width="20.42578125" style="1" customWidth="1"/>
    <col min="776" max="1024" width="9.140625" style="1"/>
    <col min="1025" max="1025" width="34.85546875" style="1" bestFit="1" customWidth="1"/>
    <col min="1026" max="1026" width="12" style="1" customWidth="1"/>
    <col min="1027" max="1027" width="12.5703125" style="1" customWidth="1"/>
    <col min="1028" max="1028" width="12.28515625" style="1" customWidth="1"/>
    <col min="1029" max="1029" width="11.28515625" style="1" customWidth="1"/>
    <col min="1030" max="1030" width="16.140625" style="1" customWidth="1"/>
    <col min="1031" max="1031" width="20.42578125" style="1" customWidth="1"/>
    <col min="1032" max="1280" width="9.140625" style="1"/>
    <col min="1281" max="1281" width="34.85546875" style="1" bestFit="1" customWidth="1"/>
    <col min="1282" max="1282" width="12" style="1" customWidth="1"/>
    <col min="1283" max="1283" width="12.5703125" style="1" customWidth="1"/>
    <col min="1284" max="1284" width="12.28515625" style="1" customWidth="1"/>
    <col min="1285" max="1285" width="11.28515625" style="1" customWidth="1"/>
    <col min="1286" max="1286" width="16.140625" style="1" customWidth="1"/>
    <col min="1287" max="1287" width="20.42578125" style="1" customWidth="1"/>
    <col min="1288" max="1536" width="9.140625" style="1"/>
    <col min="1537" max="1537" width="34.85546875" style="1" bestFit="1" customWidth="1"/>
    <col min="1538" max="1538" width="12" style="1" customWidth="1"/>
    <col min="1539" max="1539" width="12.5703125" style="1" customWidth="1"/>
    <col min="1540" max="1540" width="12.28515625" style="1" customWidth="1"/>
    <col min="1541" max="1541" width="11.28515625" style="1" customWidth="1"/>
    <col min="1542" max="1542" width="16.140625" style="1" customWidth="1"/>
    <col min="1543" max="1543" width="20.42578125" style="1" customWidth="1"/>
    <col min="1544" max="1792" width="9.140625" style="1"/>
    <col min="1793" max="1793" width="34.85546875" style="1" bestFit="1" customWidth="1"/>
    <col min="1794" max="1794" width="12" style="1" customWidth="1"/>
    <col min="1795" max="1795" width="12.5703125" style="1" customWidth="1"/>
    <col min="1796" max="1796" width="12.28515625" style="1" customWidth="1"/>
    <col min="1797" max="1797" width="11.28515625" style="1" customWidth="1"/>
    <col min="1798" max="1798" width="16.140625" style="1" customWidth="1"/>
    <col min="1799" max="1799" width="20.42578125" style="1" customWidth="1"/>
    <col min="1800" max="2048" width="9.140625" style="1"/>
    <col min="2049" max="2049" width="34.85546875" style="1" bestFit="1" customWidth="1"/>
    <col min="2050" max="2050" width="12" style="1" customWidth="1"/>
    <col min="2051" max="2051" width="12.5703125" style="1" customWidth="1"/>
    <col min="2052" max="2052" width="12.28515625" style="1" customWidth="1"/>
    <col min="2053" max="2053" width="11.28515625" style="1" customWidth="1"/>
    <col min="2054" max="2054" width="16.140625" style="1" customWidth="1"/>
    <col min="2055" max="2055" width="20.42578125" style="1" customWidth="1"/>
    <col min="2056" max="2304" width="9.140625" style="1"/>
    <col min="2305" max="2305" width="34.85546875" style="1" bestFit="1" customWidth="1"/>
    <col min="2306" max="2306" width="12" style="1" customWidth="1"/>
    <col min="2307" max="2307" width="12.5703125" style="1" customWidth="1"/>
    <col min="2308" max="2308" width="12.28515625" style="1" customWidth="1"/>
    <col min="2309" max="2309" width="11.28515625" style="1" customWidth="1"/>
    <col min="2310" max="2310" width="16.140625" style="1" customWidth="1"/>
    <col min="2311" max="2311" width="20.42578125" style="1" customWidth="1"/>
    <col min="2312" max="2560" width="9.140625" style="1"/>
    <col min="2561" max="2561" width="34.85546875" style="1" bestFit="1" customWidth="1"/>
    <col min="2562" max="2562" width="12" style="1" customWidth="1"/>
    <col min="2563" max="2563" width="12.5703125" style="1" customWidth="1"/>
    <col min="2564" max="2564" width="12.28515625" style="1" customWidth="1"/>
    <col min="2565" max="2565" width="11.28515625" style="1" customWidth="1"/>
    <col min="2566" max="2566" width="16.140625" style="1" customWidth="1"/>
    <col min="2567" max="2567" width="20.42578125" style="1" customWidth="1"/>
    <col min="2568" max="2816" width="9.140625" style="1"/>
    <col min="2817" max="2817" width="34.85546875" style="1" bestFit="1" customWidth="1"/>
    <col min="2818" max="2818" width="12" style="1" customWidth="1"/>
    <col min="2819" max="2819" width="12.5703125" style="1" customWidth="1"/>
    <col min="2820" max="2820" width="12.28515625" style="1" customWidth="1"/>
    <col min="2821" max="2821" width="11.28515625" style="1" customWidth="1"/>
    <col min="2822" max="2822" width="16.140625" style="1" customWidth="1"/>
    <col min="2823" max="2823" width="20.42578125" style="1" customWidth="1"/>
    <col min="2824" max="3072" width="9.140625" style="1"/>
    <col min="3073" max="3073" width="34.85546875" style="1" bestFit="1" customWidth="1"/>
    <col min="3074" max="3074" width="12" style="1" customWidth="1"/>
    <col min="3075" max="3075" width="12.5703125" style="1" customWidth="1"/>
    <col min="3076" max="3076" width="12.28515625" style="1" customWidth="1"/>
    <col min="3077" max="3077" width="11.28515625" style="1" customWidth="1"/>
    <col min="3078" max="3078" width="16.140625" style="1" customWidth="1"/>
    <col min="3079" max="3079" width="20.42578125" style="1" customWidth="1"/>
    <col min="3080" max="3328" width="9.140625" style="1"/>
    <col min="3329" max="3329" width="34.85546875" style="1" bestFit="1" customWidth="1"/>
    <col min="3330" max="3330" width="12" style="1" customWidth="1"/>
    <col min="3331" max="3331" width="12.5703125" style="1" customWidth="1"/>
    <col min="3332" max="3332" width="12.28515625" style="1" customWidth="1"/>
    <col min="3333" max="3333" width="11.28515625" style="1" customWidth="1"/>
    <col min="3334" max="3334" width="16.140625" style="1" customWidth="1"/>
    <col min="3335" max="3335" width="20.42578125" style="1" customWidth="1"/>
    <col min="3336" max="3584" width="9.140625" style="1"/>
    <col min="3585" max="3585" width="34.85546875" style="1" bestFit="1" customWidth="1"/>
    <col min="3586" max="3586" width="12" style="1" customWidth="1"/>
    <col min="3587" max="3587" width="12.5703125" style="1" customWidth="1"/>
    <col min="3588" max="3588" width="12.28515625" style="1" customWidth="1"/>
    <col min="3589" max="3589" width="11.28515625" style="1" customWidth="1"/>
    <col min="3590" max="3590" width="16.140625" style="1" customWidth="1"/>
    <col min="3591" max="3591" width="20.42578125" style="1" customWidth="1"/>
    <col min="3592" max="3840" width="9.140625" style="1"/>
    <col min="3841" max="3841" width="34.85546875" style="1" bestFit="1" customWidth="1"/>
    <col min="3842" max="3842" width="12" style="1" customWidth="1"/>
    <col min="3843" max="3843" width="12.5703125" style="1" customWidth="1"/>
    <col min="3844" max="3844" width="12.28515625" style="1" customWidth="1"/>
    <col min="3845" max="3845" width="11.28515625" style="1" customWidth="1"/>
    <col min="3846" max="3846" width="16.140625" style="1" customWidth="1"/>
    <col min="3847" max="3847" width="20.42578125" style="1" customWidth="1"/>
    <col min="3848" max="4096" width="9.140625" style="1"/>
    <col min="4097" max="4097" width="34.85546875" style="1" bestFit="1" customWidth="1"/>
    <col min="4098" max="4098" width="12" style="1" customWidth="1"/>
    <col min="4099" max="4099" width="12.5703125" style="1" customWidth="1"/>
    <col min="4100" max="4100" width="12.28515625" style="1" customWidth="1"/>
    <col min="4101" max="4101" width="11.28515625" style="1" customWidth="1"/>
    <col min="4102" max="4102" width="16.140625" style="1" customWidth="1"/>
    <col min="4103" max="4103" width="20.42578125" style="1" customWidth="1"/>
    <col min="4104" max="4352" width="9.140625" style="1"/>
    <col min="4353" max="4353" width="34.85546875" style="1" bestFit="1" customWidth="1"/>
    <col min="4354" max="4354" width="12" style="1" customWidth="1"/>
    <col min="4355" max="4355" width="12.5703125" style="1" customWidth="1"/>
    <col min="4356" max="4356" width="12.28515625" style="1" customWidth="1"/>
    <col min="4357" max="4357" width="11.28515625" style="1" customWidth="1"/>
    <col min="4358" max="4358" width="16.140625" style="1" customWidth="1"/>
    <col min="4359" max="4359" width="20.42578125" style="1" customWidth="1"/>
    <col min="4360" max="4608" width="9.140625" style="1"/>
    <col min="4609" max="4609" width="34.85546875" style="1" bestFit="1" customWidth="1"/>
    <col min="4610" max="4610" width="12" style="1" customWidth="1"/>
    <col min="4611" max="4611" width="12.5703125" style="1" customWidth="1"/>
    <col min="4612" max="4612" width="12.28515625" style="1" customWidth="1"/>
    <col min="4613" max="4613" width="11.28515625" style="1" customWidth="1"/>
    <col min="4614" max="4614" width="16.140625" style="1" customWidth="1"/>
    <col min="4615" max="4615" width="20.42578125" style="1" customWidth="1"/>
    <col min="4616" max="4864" width="9.140625" style="1"/>
    <col min="4865" max="4865" width="34.85546875" style="1" bestFit="1" customWidth="1"/>
    <col min="4866" max="4866" width="12" style="1" customWidth="1"/>
    <col min="4867" max="4867" width="12.5703125" style="1" customWidth="1"/>
    <col min="4868" max="4868" width="12.28515625" style="1" customWidth="1"/>
    <col min="4869" max="4869" width="11.28515625" style="1" customWidth="1"/>
    <col min="4870" max="4870" width="16.140625" style="1" customWidth="1"/>
    <col min="4871" max="4871" width="20.42578125" style="1" customWidth="1"/>
    <col min="4872" max="5120" width="9.140625" style="1"/>
    <col min="5121" max="5121" width="34.85546875" style="1" bestFit="1" customWidth="1"/>
    <col min="5122" max="5122" width="12" style="1" customWidth="1"/>
    <col min="5123" max="5123" width="12.5703125" style="1" customWidth="1"/>
    <col min="5124" max="5124" width="12.28515625" style="1" customWidth="1"/>
    <col min="5125" max="5125" width="11.28515625" style="1" customWidth="1"/>
    <col min="5126" max="5126" width="16.140625" style="1" customWidth="1"/>
    <col min="5127" max="5127" width="20.42578125" style="1" customWidth="1"/>
    <col min="5128" max="5376" width="9.140625" style="1"/>
    <col min="5377" max="5377" width="34.85546875" style="1" bestFit="1" customWidth="1"/>
    <col min="5378" max="5378" width="12" style="1" customWidth="1"/>
    <col min="5379" max="5379" width="12.5703125" style="1" customWidth="1"/>
    <col min="5380" max="5380" width="12.28515625" style="1" customWidth="1"/>
    <col min="5381" max="5381" width="11.28515625" style="1" customWidth="1"/>
    <col min="5382" max="5382" width="16.140625" style="1" customWidth="1"/>
    <col min="5383" max="5383" width="20.42578125" style="1" customWidth="1"/>
    <col min="5384" max="5632" width="9.140625" style="1"/>
    <col min="5633" max="5633" width="34.85546875" style="1" bestFit="1" customWidth="1"/>
    <col min="5634" max="5634" width="12" style="1" customWidth="1"/>
    <col min="5635" max="5635" width="12.5703125" style="1" customWidth="1"/>
    <col min="5636" max="5636" width="12.28515625" style="1" customWidth="1"/>
    <col min="5637" max="5637" width="11.28515625" style="1" customWidth="1"/>
    <col min="5638" max="5638" width="16.140625" style="1" customWidth="1"/>
    <col min="5639" max="5639" width="20.42578125" style="1" customWidth="1"/>
    <col min="5640" max="5888" width="9.140625" style="1"/>
    <col min="5889" max="5889" width="34.85546875" style="1" bestFit="1" customWidth="1"/>
    <col min="5890" max="5890" width="12" style="1" customWidth="1"/>
    <col min="5891" max="5891" width="12.5703125" style="1" customWidth="1"/>
    <col min="5892" max="5892" width="12.28515625" style="1" customWidth="1"/>
    <col min="5893" max="5893" width="11.28515625" style="1" customWidth="1"/>
    <col min="5894" max="5894" width="16.140625" style="1" customWidth="1"/>
    <col min="5895" max="5895" width="20.42578125" style="1" customWidth="1"/>
    <col min="5896" max="6144" width="9.140625" style="1"/>
    <col min="6145" max="6145" width="34.85546875" style="1" bestFit="1" customWidth="1"/>
    <col min="6146" max="6146" width="12" style="1" customWidth="1"/>
    <col min="6147" max="6147" width="12.5703125" style="1" customWidth="1"/>
    <col min="6148" max="6148" width="12.28515625" style="1" customWidth="1"/>
    <col min="6149" max="6149" width="11.28515625" style="1" customWidth="1"/>
    <col min="6150" max="6150" width="16.140625" style="1" customWidth="1"/>
    <col min="6151" max="6151" width="20.42578125" style="1" customWidth="1"/>
    <col min="6152" max="6400" width="9.140625" style="1"/>
    <col min="6401" max="6401" width="34.85546875" style="1" bestFit="1" customWidth="1"/>
    <col min="6402" max="6402" width="12" style="1" customWidth="1"/>
    <col min="6403" max="6403" width="12.5703125" style="1" customWidth="1"/>
    <col min="6404" max="6404" width="12.28515625" style="1" customWidth="1"/>
    <col min="6405" max="6405" width="11.28515625" style="1" customWidth="1"/>
    <col min="6406" max="6406" width="16.140625" style="1" customWidth="1"/>
    <col min="6407" max="6407" width="20.42578125" style="1" customWidth="1"/>
    <col min="6408" max="6656" width="9.140625" style="1"/>
    <col min="6657" max="6657" width="34.85546875" style="1" bestFit="1" customWidth="1"/>
    <col min="6658" max="6658" width="12" style="1" customWidth="1"/>
    <col min="6659" max="6659" width="12.5703125" style="1" customWidth="1"/>
    <col min="6660" max="6660" width="12.28515625" style="1" customWidth="1"/>
    <col min="6661" max="6661" width="11.28515625" style="1" customWidth="1"/>
    <col min="6662" max="6662" width="16.140625" style="1" customWidth="1"/>
    <col min="6663" max="6663" width="20.42578125" style="1" customWidth="1"/>
    <col min="6664" max="6912" width="9.140625" style="1"/>
    <col min="6913" max="6913" width="34.85546875" style="1" bestFit="1" customWidth="1"/>
    <col min="6914" max="6914" width="12" style="1" customWidth="1"/>
    <col min="6915" max="6915" width="12.5703125" style="1" customWidth="1"/>
    <col min="6916" max="6916" width="12.28515625" style="1" customWidth="1"/>
    <col min="6917" max="6917" width="11.28515625" style="1" customWidth="1"/>
    <col min="6918" max="6918" width="16.140625" style="1" customWidth="1"/>
    <col min="6919" max="6919" width="20.42578125" style="1" customWidth="1"/>
    <col min="6920" max="7168" width="9.140625" style="1"/>
    <col min="7169" max="7169" width="34.85546875" style="1" bestFit="1" customWidth="1"/>
    <col min="7170" max="7170" width="12" style="1" customWidth="1"/>
    <col min="7171" max="7171" width="12.5703125" style="1" customWidth="1"/>
    <col min="7172" max="7172" width="12.28515625" style="1" customWidth="1"/>
    <col min="7173" max="7173" width="11.28515625" style="1" customWidth="1"/>
    <col min="7174" max="7174" width="16.140625" style="1" customWidth="1"/>
    <col min="7175" max="7175" width="20.42578125" style="1" customWidth="1"/>
    <col min="7176" max="7424" width="9.140625" style="1"/>
    <col min="7425" max="7425" width="34.85546875" style="1" bestFit="1" customWidth="1"/>
    <col min="7426" max="7426" width="12" style="1" customWidth="1"/>
    <col min="7427" max="7427" width="12.5703125" style="1" customWidth="1"/>
    <col min="7428" max="7428" width="12.28515625" style="1" customWidth="1"/>
    <col min="7429" max="7429" width="11.28515625" style="1" customWidth="1"/>
    <col min="7430" max="7430" width="16.140625" style="1" customWidth="1"/>
    <col min="7431" max="7431" width="20.42578125" style="1" customWidth="1"/>
    <col min="7432" max="7680" width="9.140625" style="1"/>
    <col min="7681" max="7681" width="34.85546875" style="1" bestFit="1" customWidth="1"/>
    <col min="7682" max="7682" width="12" style="1" customWidth="1"/>
    <col min="7683" max="7683" width="12.5703125" style="1" customWidth="1"/>
    <col min="7684" max="7684" width="12.28515625" style="1" customWidth="1"/>
    <col min="7685" max="7685" width="11.28515625" style="1" customWidth="1"/>
    <col min="7686" max="7686" width="16.140625" style="1" customWidth="1"/>
    <col min="7687" max="7687" width="20.42578125" style="1" customWidth="1"/>
    <col min="7688" max="7936" width="9.140625" style="1"/>
    <col min="7937" max="7937" width="34.85546875" style="1" bestFit="1" customWidth="1"/>
    <col min="7938" max="7938" width="12" style="1" customWidth="1"/>
    <col min="7939" max="7939" width="12.5703125" style="1" customWidth="1"/>
    <col min="7940" max="7940" width="12.28515625" style="1" customWidth="1"/>
    <col min="7941" max="7941" width="11.28515625" style="1" customWidth="1"/>
    <col min="7942" max="7942" width="16.140625" style="1" customWidth="1"/>
    <col min="7943" max="7943" width="20.42578125" style="1" customWidth="1"/>
    <col min="7944" max="8192" width="9.140625" style="1"/>
    <col min="8193" max="8193" width="34.85546875" style="1" bestFit="1" customWidth="1"/>
    <col min="8194" max="8194" width="12" style="1" customWidth="1"/>
    <col min="8195" max="8195" width="12.5703125" style="1" customWidth="1"/>
    <col min="8196" max="8196" width="12.28515625" style="1" customWidth="1"/>
    <col min="8197" max="8197" width="11.28515625" style="1" customWidth="1"/>
    <col min="8198" max="8198" width="16.140625" style="1" customWidth="1"/>
    <col min="8199" max="8199" width="20.42578125" style="1" customWidth="1"/>
    <col min="8200" max="8448" width="9.140625" style="1"/>
    <col min="8449" max="8449" width="34.85546875" style="1" bestFit="1" customWidth="1"/>
    <col min="8450" max="8450" width="12" style="1" customWidth="1"/>
    <col min="8451" max="8451" width="12.5703125" style="1" customWidth="1"/>
    <col min="8452" max="8452" width="12.28515625" style="1" customWidth="1"/>
    <col min="8453" max="8453" width="11.28515625" style="1" customWidth="1"/>
    <col min="8454" max="8454" width="16.140625" style="1" customWidth="1"/>
    <col min="8455" max="8455" width="20.42578125" style="1" customWidth="1"/>
    <col min="8456" max="8704" width="9.140625" style="1"/>
    <col min="8705" max="8705" width="34.85546875" style="1" bestFit="1" customWidth="1"/>
    <col min="8706" max="8706" width="12" style="1" customWidth="1"/>
    <col min="8707" max="8707" width="12.5703125" style="1" customWidth="1"/>
    <col min="8708" max="8708" width="12.28515625" style="1" customWidth="1"/>
    <col min="8709" max="8709" width="11.28515625" style="1" customWidth="1"/>
    <col min="8710" max="8710" width="16.140625" style="1" customWidth="1"/>
    <col min="8711" max="8711" width="20.42578125" style="1" customWidth="1"/>
    <col min="8712" max="8960" width="9.140625" style="1"/>
    <col min="8961" max="8961" width="34.85546875" style="1" bestFit="1" customWidth="1"/>
    <col min="8962" max="8962" width="12" style="1" customWidth="1"/>
    <col min="8963" max="8963" width="12.5703125" style="1" customWidth="1"/>
    <col min="8964" max="8964" width="12.28515625" style="1" customWidth="1"/>
    <col min="8965" max="8965" width="11.28515625" style="1" customWidth="1"/>
    <col min="8966" max="8966" width="16.140625" style="1" customWidth="1"/>
    <col min="8967" max="8967" width="20.42578125" style="1" customWidth="1"/>
    <col min="8968" max="9216" width="9.140625" style="1"/>
    <col min="9217" max="9217" width="34.85546875" style="1" bestFit="1" customWidth="1"/>
    <col min="9218" max="9218" width="12" style="1" customWidth="1"/>
    <col min="9219" max="9219" width="12.5703125" style="1" customWidth="1"/>
    <col min="9220" max="9220" width="12.28515625" style="1" customWidth="1"/>
    <col min="9221" max="9221" width="11.28515625" style="1" customWidth="1"/>
    <col min="9222" max="9222" width="16.140625" style="1" customWidth="1"/>
    <col min="9223" max="9223" width="20.42578125" style="1" customWidth="1"/>
    <col min="9224" max="9472" width="9.140625" style="1"/>
    <col min="9473" max="9473" width="34.85546875" style="1" bestFit="1" customWidth="1"/>
    <col min="9474" max="9474" width="12" style="1" customWidth="1"/>
    <col min="9475" max="9475" width="12.5703125" style="1" customWidth="1"/>
    <col min="9476" max="9476" width="12.28515625" style="1" customWidth="1"/>
    <col min="9477" max="9477" width="11.28515625" style="1" customWidth="1"/>
    <col min="9478" max="9478" width="16.140625" style="1" customWidth="1"/>
    <col min="9479" max="9479" width="20.42578125" style="1" customWidth="1"/>
    <col min="9480" max="9728" width="9.140625" style="1"/>
    <col min="9729" max="9729" width="34.85546875" style="1" bestFit="1" customWidth="1"/>
    <col min="9730" max="9730" width="12" style="1" customWidth="1"/>
    <col min="9731" max="9731" width="12.5703125" style="1" customWidth="1"/>
    <col min="9732" max="9732" width="12.28515625" style="1" customWidth="1"/>
    <col min="9733" max="9733" width="11.28515625" style="1" customWidth="1"/>
    <col min="9734" max="9734" width="16.140625" style="1" customWidth="1"/>
    <col min="9735" max="9735" width="20.42578125" style="1" customWidth="1"/>
    <col min="9736" max="9984" width="9.140625" style="1"/>
    <col min="9985" max="9985" width="34.85546875" style="1" bestFit="1" customWidth="1"/>
    <col min="9986" max="9986" width="12" style="1" customWidth="1"/>
    <col min="9987" max="9987" width="12.5703125" style="1" customWidth="1"/>
    <col min="9988" max="9988" width="12.28515625" style="1" customWidth="1"/>
    <col min="9989" max="9989" width="11.28515625" style="1" customWidth="1"/>
    <col min="9990" max="9990" width="16.140625" style="1" customWidth="1"/>
    <col min="9991" max="9991" width="20.42578125" style="1" customWidth="1"/>
    <col min="9992" max="10240" width="9.140625" style="1"/>
    <col min="10241" max="10241" width="34.85546875" style="1" bestFit="1" customWidth="1"/>
    <col min="10242" max="10242" width="12" style="1" customWidth="1"/>
    <col min="10243" max="10243" width="12.5703125" style="1" customWidth="1"/>
    <col min="10244" max="10244" width="12.28515625" style="1" customWidth="1"/>
    <col min="10245" max="10245" width="11.28515625" style="1" customWidth="1"/>
    <col min="10246" max="10246" width="16.140625" style="1" customWidth="1"/>
    <col min="10247" max="10247" width="20.42578125" style="1" customWidth="1"/>
    <col min="10248" max="10496" width="9.140625" style="1"/>
    <col min="10497" max="10497" width="34.85546875" style="1" bestFit="1" customWidth="1"/>
    <col min="10498" max="10498" width="12" style="1" customWidth="1"/>
    <col min="10499" max="10499" width="12.5703125" style="1" customWidth="1"/>
    <col min="10500" max="10500" width="12.28515625" style="1" customWidth="1"/>
    <col min="10501" max="10501" width="11.28515625" style="1" customWidth="1"/>
    <col min="10502" max="10502" width="16.140625" style="1" customWidth="1"/>
    <col min="10503" max="10503" width="20.42578125" style="1" customWidth="1"/>
    <col min="10504" max="10752" width="9.140625" style="1"/>
    <col min="10753" max="10753" width="34.85546875" style="1" bestFit="1" customWidth="1"/>
    <col min="10754" max="10754" width="12" style="1" customWidth="1"/>
    <col min="10755" max="10755" width="12.5703125" style="1" customWidth="1"/>
    <col min="10756" max="10756" width="12.28515625" style="1" customWidth="1"/>
    <col min="10757" max="10757" width="11.28515625" style="1" customWidth="1"/>
    <col min="10758" max="10758" width="16.140625" style="1" customWidth="1"/>
    <col min="10759" max="10759" width="20.42578125" style="1" customWidth="1"/>
    <col min="10760" max="11008" width="9.140625" style="1"/>
    <col min="11009" max="11009" width="34.85546875" style="1" bestFit="1" customWidth="1"/>
    <col min="11010" max="11010" width="12" style="1" customWidth="1"/>
    <col min="11011" max="11011" width="12.5703125" style="1" customWidth="1"/>
    <col min="11012" max="11012" width="12.28515625" style="1" customWidth="1"/>
    <col min="11013" max="11013" width="11.28515625" style="1" customWidth="1"/>
    <col min="11014" max="11014" width="16.140625" style="1" customWidth="1"/>
    <col min="11015" max="11015" width="20.42578125" style="1" customWidth="1"/>
    <col min="11016" max="11264" width="9.140625" style="1"/>
    <col min="11265" max="11265" width="34.85546875" style="1" bestFit="1" customWidth="1"/>
    <col min="11266" max="11266" width="12" style="1" customWidth="1"/>
    <col min="11267" max="11267" width="12.5703125" style="1" customWidth="1"/>
    <col min="11268" max="11268" width="12.28515625" style="1" customWidth="1"/>
    <col min="11269" max="11269" width="11.28515625" style="1" customWidth="1"/>
    <col min="11270" max="11270" width="16.140625" style="1" customWidth="1"/>
    <col min="11271" max="11271" width="20.42578125" style="1" customWidth="1"/>
    <col min="11272" max="11520" width="9.140625" style="1"/>
    <col min="11521" max="11521" width="34.85546875" style="1" bestFit="1" customWidth="1"/>
    <col min="11522" max="11522" width="12" style="1" customWidth="1"/>
    <col min="11523" max="11523" width="12.5703125" style="1" customWidth="1"/>
    <col min="11524" max="11524" width="12.28515625" style="1" customWidth="1"/>
    <col min="11525" max="11525" width="11.28515625" style="1" customWidth="1"/>
    <col min="11526" max="11526" width="16.140625" style="1" customWidth="1"/>
    <col min="11527" max="11527" width="20.42578125" style="1" customWidth="1"/>
    <col min="11528" max="11776" width="9.140625" style="1"/>
    <col min="11777" max="11777" width="34.85546875" style="1" bestFit="1" customWidth="1"/>
    <col min="11778" max="11778" width="12" style="1" customWidth="1"/>
    <col min="11779" max="11779" width="12.5703125" style="1" customWidth="1"/>
    <col min="11780" max="11780" width="12.28515625" style="1" customWidth="1"/>
    <col min="11781" max="11781" width="11.28515625" style="1" customWidth="1"/>
    <col min="11782" max="11782" width="16.140625" style="1" customWidth="1"/>
    <col min="11783" max="11783" width="20.42578125" style="1" customWidth="1"/>
    <col min="11784" max="12032" width="9.140625" style="1"/>
    <col min="12033" max="12033" width="34.85546875" style="1" bestFit="1" customWidth="1"/>
    <col min="12034" max="12034" width="12" style="1" customWidth="1"/>
    <col min="12035" max="12035" width="12.5703125" style="1" customWidth="1"/>
    <col min="12036" max="12036" width="12.28515625" style="1" customWidth="1"/>
    <col min="12037" max="12037" width="11.28515625" style="1" customWidth="1"/>
    <col min="12038" max="12038" width="16.140625" style="1" customWidth="1"/>
    <col min="12039" max="12039" width="20.42578125" style="1" customWidth="1"/>
    <col min="12040" max="12288" width="9.140625" style="1"/>
    <col min="12289" max="12289" width="34.85546875" style="1" bestFit="1" customWidth="1"/>
    <col min="12290" max="12290" width="12" style="1" customWidth="1"/>
    <col min="12291" max="12291" width="12.5703125" style="1" customWidth="1"/>
    <col min="12292" max="12292" width="12.28515625" style="1" customWidth="1"/>
    <col min="12293" max="12293" width="11.28515625" style="1" customWidth="1"/>
    <col min="12294" max="12294" width="16.140625" style="1" customWidth="1"/>
    <col min="12295" max="12295" width="20.42578125" style="1" customWidth="1"/>
    <col min="12296" max="12544" width="9.140625" style="1"/>
    <col min="12545" max="12545" width="34.85546875" style="1" bestFit="1" customWidth="1"/>
    <col min="12546" max="12546" width="12" style="1" customWidth="1"/>
    <col min="12547" max="12547" width="12.5703125" style="1" customWidth="1"/>
    <col min="12548" max="12548" width="12.28515625" style="1" customWidth="1"/>
    <col min="12549" max="12549" width="11.28515625" style="1" customWidth="1"/>
    <col min="12550" max="12550" width="16.140625" style="1" customWidth="1"/>
    <col min="12551" max="12551" width="20.42578125" style="1" customWidth="1"/>
    <col min="12552" max="12800" width="9.140625" style="1"/>
    <col min="12801" max="12801" width="34.85546875" style="1" bestFit="1" customWidth="1"/>
    <col min="12802" max="12802" width="12" style="1" customWidth="1"/>
    <col min="12803" max="12803" width="12.5703125" style="1" customWidth="1"/>
    <col min="12804" max="12804" width="12.28515625" style="1" customWidth="1"/>
    <col min="12805" max="12805" width="11.28515625" style="1" customWidth="1"/>
    <col min="12806" max="12806" width="16.140625" style="1" customWidth="1"/>
    <col min="12807" max="12807" width="20.42578125" style="1" customWidth="1"/>
    <col min="12808" max="13056" width="9.140625" style="1"/>
    <col min="13057" max="13057" width="34.85546875" style="1" bestFit="1" customWidth="1"/>
    <col min="13058" max="13058" width="12" style="1" customWidth="1"/>
    <col min="13059" max="13059" width="12.5703125" style="1" customWidth="1"/>
    <col min="13060" max="13060" width="12.28515625" style="1" customWidth="1"/>
    <col min="13061" max="13061" width="11.28515625" style="1" customWidth="1"/>
    <col min="13062" max="13062" width="16.140625" style="1" customWidth="1"/>
    <col min="13063" max="13063" width="20.42578125" style="1" customWidth="1"/>
    <col min="13064" max="13312" width="9.140625" style="1"/>
    <col min="13313" max="13313" width="34.85546875" style="1" bestFit="1" customWidth="1"/>
    <col min="13314" max="13314" width="12" style="1" customWidth="1"/>
    <col min="13315" max="13315" width="12.5703125" style="1" customWidth="1"/>
    <col min="13316" max="13316" width="12.28515625" style="1" customWidth="1"/>
    <col min="13317" max="13317" width="11.28515625" style="1" customWidth="1"/>
    <col min="13318" max="13318" width="16.140625" style="1" customWidth="1"/>
    <col min="13319" max="13319" width="20.42578125" style="1" customWidth="1"/>
    <col min="13320" max="13568" width="9.140625" style="1"/>
    <col min="13569" max="13569" width="34.85546875" style="1" bestFit="1" customWidth="1"/>
    <col min="13570" max="13570" width="12" style="1" customWidth="1"/>
    <col min="13571" max="13571" width="12.5703125" style="1" customWidth="1"/>
    <col min="13572" max="13572" width="12.28515625" style="1" customWidth="1"/>
    <col min="13573" max="13573" width="11.28515625" style="1" customWidth="1"/>
    <col min="13574" max="13574" width="16.140625" style="1" customWidth="1"/>
    <col min="13575" max="13575" width="20.42578125" style="1" customWidth="1"/>
    <col min="13576" max="13824" width="9.140625" style="1"/>
    <col min="13825" max="13825" width="34.85546875" style="1" bestFit="1" customWidth="1"/>
    <col min="13826" max="13826" width="12" style="1" customWidth="1"/>
    <col min="13827" max="13827" width="12.5703125" style="1" customWidth="1"/>
    <col min="13828" max="13828" width="12.28515625" style="1" customWidth="1"/>
    <col min="13829" max="13829" width="11.28515625" style="1" customWidth="1"/>
    <col min="13830" max="13830" width="16.140625" style="1" customWidth="1"/>
    <col min="13831" max="13831" width="20.42578125" style="1" customWidth="1"/>
    <col min="13832" max="14080" width="9.140625" style="1"/>
    <col min="14081" max="14081" width="34.85546875" style="1" bestFit="1" customWidth="1"/>
    <col min="14082" max="14082" width="12" style="1" customWidth="1"/>
    <col min="14083" max="14083" width="12.5703125" style="1" customWidth="1"/>
    <col min="14084" max="14084" width="12.28515625" style="1" customWidth="1"/>
    <col min="14085" max="14085" width="11.28515625" style="1" customWidth="1"/>
    <col min="14086" max="14086" width="16.140625" style="1" customWidth="1"/>
    <col min="14087" max="14087" width="20.42578125" style="1" customWidth="1"/>
    <col min="14088" max="14336" width="9.140625" style="1"/>
    <col min="14337" max="14337" width="34.85546875" style="1" bestFit="1" customWidth="1"/>
    <col min="14338" max="14338" width="12" style="1" customWidth="1"/>
    <col min="14339" max="14339" width="12.5703125" style="1" customWidth="1"/>
    <col min="14340" max="14340" width="12.28515625" style="1" customWidth="1"/>
    <col min="14341" max="14341" width="11.28515625" style="1" customWidth="1"/>
    <col min="14342" max="14342" width="16.140625" style="1" customWidth="1"/>
    <col min="14343" max="14343" width="20.42578125" style="1" customWidth="1"/>
    <col min="14344" max="14592" width="9.140625" style="1"/>
    <col min="14593" max="14593" width="34.85546875" style="1" bestFit="1" customWidth="1"/>
    <col min="14594" max="14594" width="12" style="1" customWidth="1"/>
    <col min="14595" max="14595" width="12.5703125" style="1" customWidth="1"/>
    <col min="14596" max="14596" width="12.28515625" style="1" customWidth="1"/>
    <col min="14597" max="14597" width="11.28515625" style="1" customWidth="1"/>
    <col min="14598" max="14598" width="16.140625" style="1" customWidth="1"/>
    <col min="14599" max="14599" width="20.42578125" style="1" customWidth="1"/>
    <col min="14600" max="14848" width="9.140625" style="1"/>
    <col min="14849" max="14849" width="34.85546875" style="1" bestFit="1" customWidth="1"/>
    <col min="14850" max="14850" width="12" style="1" customWidth="1"/>
    <col min="14851" max="14851" width="12.5703125" style="1" customWidth="1"/>
    <col min="14852" max="14852" width="12.28515625" style="1" customWidth="1"/>
    <col min="14853" max="14853" width="11.28515625" style="1" customWidth="1"/>
    <col min="14854" max="14854" width="16.140625" style="1" customWidth="1"/>
    <col min="14855" max="14855" width="20.42578125" style="1" customWidth="1"/>
    <col min="14856" max="15104" width="9.140625" style="1"/>
    <col min="15105" max="15105" width="34.85546875" style="1" bestFit="1" customWidth="1"/>
    <col min="15106" max="15106" width="12" style="1" customWidth="1"/>
    <col min="15107" max="15107" width="12.5703125" style="1" customWidth="1"/>
    <col min="15108" max="15108" width="12.28515625" style="1" customWidth="1"/>
    <col min="15109" max="15109" width="11.28515625" style="1" customWidth="1"/>
    <col min="15110" max="15110" width="16.140625" style="1" customWidth="1"/>
    <col min="15111" max="15111" width="20.42578125" style="1" customWidth="1"/>
    <col min="15112" max="15360" width="9.140625" style="1"/>
    <col min="15361" max="15361" width="34.85546875" style="1" bestFit="1" customWidth="1"/>
    <col min="15362" max="15362" width="12" style="1" customWidth="1"/>
    <col min="15363" max="15363" width="12.5703125" style="1" customWidth="1"/>
    <col min="15364" max="15364" width="12.28515625" style="1" customWidth="1"/>
    <col min="15365" max="15365" width="11.28515625" style="1" customWidth="1"/>
    <col min="15366" max="15366" width="16.140625" style="1" customWidth="1"/>
    <col min="15367" max="15367" width="20.42578125" style="1" customWidth="1"/>
    <col min="15368" max="15616" width="9.140625" style="1"/>
    <col min="15617" max="15617" width="34.85546875" style="1" bestFit="1" customWidth="1"/>
    <col min="15618" max="15618" width="12" style="1" customWidth="1"/>
    <col min="15619" max="15619" width="12.5703125" style="1" customWidth="1"/>
    <col min="15620" max="15620" width="12.28515625" style="1" customWidth="1"/>
    <col min="15621" max="15621" width="11.28515625" style="1" customWidth="1"/>
    <col min="15622" max="15622" width="16.140625" style="1" customWidth="1"/>
    <col min="15623" max="15623" width="20.42578125" style="1" customWidth="1"/>
    <col min="15624" max="15872" width="9.140625" style="1"/>
    <col min="15873" max="15873" width="34.85546875" style="1" bestFit="1" customWidth="1"/>
    <col min="15874" max="15874" width="12" style="1" customWidth="1"/>
    <col min="15875" max="15875" width="12.5703125" style="1" customWidth="1"/>
    <col min="15876" max="15876" width="12.28515625" style="1" customWidth="1"/>
    <col min="15877" max="15877" width="11.28515625" style="1" customWidth="1"/>
    <col min="15878" max="15878" width="16.140625" style="1" customWidth="1"/>
    <col min="15879" max="15879" width="20.42578125" style="1" customWidth="1"/>
    <col min="15880" max="16128" width="9.140625" style="1"/>
    <col min="16129" max="16129" width="34.85546875" style="1" bestFit="1" customWidth="1"/>
    <col min="16130" max="16130" width="12" style="1" customWidth="1"/>
    <col min="16131" max="16131" width="12.5703125" style="1" customWidth="1"/>
    <col min="16132" max="16132" width="12.28515625" style="1" customWidth="1"/>
    <col min="16133" max="16133" width="11.28515625" style="1" customWidth="1"/>
    <col min="16134" max="16134" width="16.140625" style="1" customWidth="1"/>
    <col min="16135" max="16135" width="20.42578125" style="1" customWidth="1"/>
    <col min="16136" max="16384" width="9.140625" style="1"/>
  </cols>
  <sheetData>
    <row r="1" spans="1:7" ht="24.75" customHeight="1" x14ac:dyDescent="0.3">
      <c r="A1" s="105" t="s">
        <v>123</v>
      </c>
      <c r="B1" s="105"/>
      <c r="C1" s="105"/>
      <c r="D1" s="105"/>
      <c r="E1" s="105"/>
      <c r="F1" s="105"/>
      <c r="G1" s="105"/>
    </row>
    <row r="2" spans="1:7" ht="81" customHeight="1" x14ac:dyDescent="0.3">
      <c r="A2" s="104" t="s">
        <v>127</v>
      </c>
      <c r="B2" s="104"/>
      <c r="C2" s="104"/>
      <c r="D2" s="104"/>
      <c r="E2" s="104"/>
      <c r="F2" s="104"/>
      <c r="G2" s="104"/>
    </row>
    <row r="3" spans="1:7" ht="20.25" customHeight="1" x14ac:dyDescent="0.3">
      <c r="A3" s="169" t="s">
        <v>28</v>
      </c>
      <c r="B3" s="169"/>
      <c r="C3" s="169"/>
      <c r="D3" s="169"/>
      <c r="E3" s="169"/>
      <c r="F3" s="169"/>
      <c r="G3" s="169"/>
    </row>
    <row r="4" spans="1:7" x14ac:dyDescent="0.3">
      <c r="A4" s="170" t="s">
        <v>119</v>
      </c>
    </row>
    <row r="6" spans="1:7" x14ac:dyDescent="0.3">
      <c r="A6" s="143" t="s">
        <v>77</v>
      </c>
      <c r="B6" s="143"/>
      <c r="C6" s="143"/>
      <c r="D6" s="177"/>
      <c r="E6" s="177"/>
      <c r="F6" s="62"/>
      <c r="G6" s="62"/>
    </row>
    <row r="7" spans="1:7" ht="30" x14ac:dyDescent="0.3">
      <c r="A7" s="97" t="s">
        <v>0</v>
      </c>
      <c r="B7" s="99" t="s">
        <v>1</v>
      </c>
      <c r="C7" s="100"/>
      <c r="D7" s="97" t="s">
        <v>2</v>
      </c>
      <c r="E7" s="97" t="s">
        <v>3</v>
      </c>
      <c r="F7" s="97" t="s">
        <v>36</v>
      </c>
      <c r="G7" s="49" t="s">
        <v>5</v>
      </c>
    </row>
    <row r="8" spans="1:7" x14ac:dyDescent="0.3">
      <c r="A8" s="98"/>
      <c r="B8" s="49" t="s">
        <v>6</v>
      </c>
      <c r="C8" s="49" t="s">
        <v>7</v>
      </c>
      <c r="D8" s="98"/>
      <c r="E8" s="98"/>
      <c r="F8" s="98"/>
      <c r="G8" s="49" t="s">
        <v>8</v>
      </c>
    </row>
    <row r="9" spans="1:7" x14ac:dyDescent="0.3">
      <c r="A9" s="159" t="s">
        <v>78</v>
      </c>
      <c r="B9" s="51">
        <v>40</v>
      </c>
      <c r="C9" s="51">
        <f>100%*B9</f>
        <v>40</v>
      </c>
      <c r="D9" s="51">
        <f>10%*C9</f>
        <v>4</v>
      </c>
      <c r="E9" s="51">
        <f>20%*C9</f>
        <v>8</v>
      </c>
      <c r="F9" s="51">
        <f>2.8%*C9</f>
        <v>1.1199999999999999</v>
      </c>
      <c r="G9" s="51">
        <f>4*(D9+F9)+9*E9</f>
        <v>92.48</v>
      </c>
    </row>
    <row r="10" spans="1:7" x14ac:dyDescent="0.3">
      <c r="A10" s="166" t="s">
        <v>65</v>
      </c>
      <c r="B10" s="51">
        <v>15</v>
      </c>
      <c r="C10" s="51">
        <f>100%*B10</f>
        <v>15</v>
      </c>
      <c r="D10" s="51">
        <f>2.6%*C10</f>
        <v>0.39</v>
      </c>
      <c r="E10" s="51">
        <f>20%*C10</f>
        <v>3</v>
      </c>
      <c r="F10" s="51">
        <f>3.8%*C10</f>
        <v>0.56999999999999995</v>
      </c>
      <c r="G10" s="51">
        <f>4*(D10+F10)+9*E10</f>
        <v>30.84</v>
      </c>
    </row>
    <row r="11" spans="1:7" ht="30" x14ac:dyDescent="0.3">
      <c r="A11" s="166" t="s">
        <v>60</v>
      </c>
      <c r="B11" s="51">
        <v>0.25</v>
      </c>
      <c r="C11" s="51">
        <f>B11*48</f>
        <v>12</v>
      </c>
      <c r="D11" s="51">
        <f>12.7%*C11</f>
        <v>1.524</v>
      </c>
      <c r="E11" s="51">
        <f>11.5%*C11</f>
        <v>1.3800000000000001</v>
      </c>
      <c r="F11" s="51"/>
      <c r="G11" s="51">
        <f>4*(D11+F11)+9*E11</f>
        <v>18.516000000000002</v>
      </c>
    </row>
    <row r="12" spans="1:7" x14ac:dyDescent="0.3">
      <c r="A12" s="166" t="s">
        <v>10</v>
      </c>
      <c r="B12" s="51">
        <v>15</v>
      </c>
      <c r="C12" s="51">
        <f>100%*B12</f>
        <v>15</v>
      </c>
      <c r="D12" s="51"/>
      <c r="E12" s="51"/>
      <c r="F12" s="51">
        <f>99%*C12</f>
        <v>14.85</v>
      </c>
      <c r="G12" s="51">
        <f>4*(D12+F12)+9*E12</f>
        <v>59.4</v>
      </c>
    </row>
    <row r="13" spans="1:7" s="46" customFormat="1" x14ac:dyDescent="0.2">
      <c r="A13" s="159" t="s">
        <v>9</v>
      </c>
      <c r="B13" s="51">
        <v>7</v>
      </c>
      <c r="C13" s="51">
        <f>100%*B13</f>
        <v>7</v>
      </c>
      <c r="D13" s="51"/>
      <c r="E13" s="51">
        <f>72.57%*C13</f>
        <v>5.0798999999999994</v>
      </c>
      <c r="F13" s="51"/>
      <c r="G13" s="51">
        <f>4*(D13+F13)+9*E13</f>
        <v>45.719099999999997</v>
      </c>
    </row>
    <row r="14" spans="1:7" s="46" customFormat="1" x14ac:dyDescent="0.2">
      <c r="A14" s="166" t="s">
        <v>79</v>
      </c>
      <c r="B14" s="51">
        <v>0.05</v>
      </c>
      <c r="C14" s="51">
        <v>0.05</v>
      </c>
      <c r="D14" s="51"/>
      <c r="E14" s="51"/>
      <c r="F14" s="51"/>
      <c r="G14" s="51">
        <v>0</v>
      </c>
    </row>
    <row r="15" spans="1:7" ht="14.25" customHeight="1" x14ac:dyDescent="0.3">
      <c r="A15" s="166" t="s">
        <v>11</v>
      </c>
      <c r="B15" s="51">
        <v>0.5</v>
      </c>
      <c r="C15" s="51">
        <v>0.5</v>
      </c>
      <c r="D15" s="51"/>
      <c r="E15" s="51"/>
      <c r="F15" s="51"/>
      <c r="G15" s="51">
        <v>0</v>
      </c>
    </row>
    <row r="16" spans="1:7" ht="36" customHeight="1" x14ac:dyDescent="0.3">
      <c r="A16" s="166" t="s">
        <v>80</v>
      </c>
      <c r="B16" s="51">
        <v>10</v>
      </c>
      <c r="C16" s="51">
        <f>B16*100%</f>
        <v>10</v>
      </c>
      <c r="D16" s="51">
        <f>C16*10%</f>
        <v>1</v>
      </c>
      <c r="E16" s="51">
        <f>C16*1.3%</f>
        <v>0.13</v>
      </c>
      <c r="F16" s="51">
        <f>C16*69%</f>
        <v>6.8999999999999995</v>
      </c>
      <c r="G16" s="51">
        <f>4*(D16+F16)+9*E16</f>
        <v>32.769999999999996</v>
      </c>
    </row>
    <row r="17" spans="1:7" x14ac:dyDescent="0.3">
      <c r="A17" s="49" t="s">
        <v>12</v>
      </c>
      <c r="B17" s="99">
        <v>130</v>
      </c>
      <c r="C17" s="100"/>
      <c r="D17" s="52">
        <f>SUM(D9:D16)</f>
        <v>6.9139999999999997</v>
      </c>
      <c r="E17" s="52">
        <f>SUM(E9:E16)</f>
        <v>17.5899</v>
      </c>
      <c r="F17" s="52">
        <f>SUM(F9:F16)</f>
        <v>23.439999999999998</v>
      </c>
      <c r="G17" s="52">
        <f>SUM(G9:G16)</f>
        <v>279.7251</v>
      </c>
    </row>
    <row r="18" spans="1:7" x14ac:dyDescent="0.3">
      <c r="A18" s="141"/>
      <c r="B18" s="141"/>
      <c r="C18" s="141"/>
      <c r="D18" s="142"/>
      <c r="E18" s="142"/>
      <c r="F18" s="142"/>
      <c r="G18" s="142"/>
    </row>
    <row r="19" spans="1:7" x14ac:dyDescent="0.3">
      <c r="A19" s="143" t="s">
        <v>46</v>
      </c>
      <c r="B19" s="143"/>
      <c r="C19" s="143"/>
      <c r="D19" s="143"/>
      <c r="E19" s="143"/>
      <c r="F19" s="143"/>
      <c r="G19" s="143"/>
    </row>
    <row r="20" spans="1:7" ht="30" x14ac:dyDescent="0.3">
      <c r="A20" s="95" t="s">
        <v>0</v>
      </c>
      <c r="B20" s="95" t="s">
        <v>1</v>
      </c>
      <c r="C20" s="95"/>
      <c r="D20" s="97" t="s">
        <v>2</v>
      </c>
      <c r="E20" s="97" t="s">
        <v>3</v>
      </c>
      <c r="F20" s="95" t="s">
        <v>36</v>
      </c>
      <c r="G20" s="49" t="s">
        <v>5</v>
      </c>
    </row>
    <row r="21" spans="1:7" x14ac:dyDescent="0.3">
      <c r="A21" s="95"/>
      <c r="B21" s="49" t="s">
        <v>6</v>
      </c>
      <c r="C21" s="49" t="s">
        <v>7</v>
      </c>
      <c r="D21" s="98"/>
      <c r="E21" s="98"/>
      <c r="F21" s="95"/>
      <c r="G21" s="49" t="s">
        <v>8</v>
      </c>
    </row>
    <row r="22" spans="1:7" x14ac:dyDescent="0.3">
      <c r="A22" s="110" t="s">
        <v>47</v>
      </c>
      <c r="B22" s="144">
        <v>5</v>
      </c>
      <c r="C22" s="144">
        <f>100%*B22</f>
        <v>5</v>
      </c>
      <c r="D22" s="144">
        <f>20%*C22</f>
        <v>1</v>
      </c>
      <c r="E22" s="144">
        <f>13%*C22</f>
        <v>0.65</v>
      </c>
      <c r="F22" s="144">
        <f>26.6%*C22</f>
        <v>1.33</v>
      </c>
      <c r="G22" s="144">
        <f>4*(D22+F22)+9*E22</f>
        <v>15.170000000000002</v>
      </c>
    </row>
    <row r="23" spans="1:7" x14ac:dyDescent="0.3">
      <c r="A23" s="110" t="s">
        <v>48</v>
      </c>
      <c r="B23" s="144">
        <v>50</v>
      </c>
      <c r="C23" s="144">
        <f>100%*B23</f>
        <v>50</v>
      </c>
      <c r="D23" s="144">
        <f>2.8%*C23</f>
        <v>1.4</v>
      </c>
      <c r="E23" s="144">
        <f>3.2%*C23</f>
        <v>1.6</v>
      </c>
      <c r="F23" s="144">
        <f>4.7%*C23</f>
        <v>2.35</v>
      </c>
      <c r="G23" s="144">
        <f>4*(D23+F23)+9*E23</f>
        <v>29.4</v>
      </c>
    </row>
    <row r="24" spans="1:7" x14ac:dyDescent="0.3">
      <c r="A24" s="50" t="s">
        <v>10</v>
      </c>
      <c r="B24" s="144">
        <v>10</v>
      </c>
      <c r="C24" s="144">
        <f>100%*B24</f>
        <v>10</v>
      </c>
      <c r="D24" s="144"/>
      <c r="E24" s="144"/>
      <c r="F24" s="144">
        <f>99%*C24</f>
        <v>9.9</v>
      </c>
      <c r="G24" s="144">
        <f>4*(D24+F24)+9*E24</f>
        <v>39.6</v>
      </c>
    </row>
    <row r="25" spans="1:7" x14ac:dyDescent="0.3">
      <c r="A25" s="49" t="s">
        <v>12</v>
      </c>
      <c r="B25" s="99">
        <v>20</v>
      </c>
      <c r="C25" s="100"/>
      <c r="D25" s="145">
        <f>SUM(D22:D24)</f>
        <v>2.4</v>
      </c>
      <c r="E25" s="145">
        <f>SUM(E22:E24)</f>
        <v>2.25</v>
      </c>
      <c r="F25" s="145">
        <f>SUM(F22:F24)</f>
        <v>13.58</v>
      </c>
      <c r="G25" s="145">
        <f>SUM(G22:G24)</f>
        <v>84.17</v>
      </c>
    </row>
    <row r="27" spans="1:7" x14ac:dyDescent="0.3">
      <c r="A27" s="49"/>
      <c r="B27" s="53"/>
      <c r="C27" s="54"/>
      <c r="D27" s="52"/>
      <c r="E27" s="52"/>
      <c r="F27" s="52"/>
      <c r="G27" s="52"/>
    </row>
    <row r="28" spans="1:7" x14ac:dyDescent="0.3">
      <c r="A28" s="114" t="s">
        <v>120</v>
      </c>
      <c r="B28" s="74">
        <f>სამშაბათი!B22+B17</f>
        <v>330</v>
      </c>
      <c r="C28" s="74"/>
      <c r="D28" s="45">
        <f>სამშაბათი!D22+D17</f>
        <v>7.9139999999999997</v>
      </c>
      <c r="E28" s="45">
        <f>სამშაბათი!E22+E17</f>
        <v>18.239899999999999</v>
      </c>
      <c r="F28" s="45">
        <f>სამშაბათი!F22+F17</f>
        <v>34.67</v>
      </c>
      <c r="G28" s="45">
        <f>G25+G17</f>
        <v>363.89510000000001</v>
      </c>
    </row>
    <row r="29" spans="1:7" s="6" customFormat="1" x14ac:dyDescent="0.3">
      <c r="A29" s="8"/>
      <c r="B29" s="8"/>
      <c r="C29" s="8"/>
      <c r="D29" s="8"/>
      <c r="E29" s="8"/>
      <c r="F29" s="8"/>
      <c r="G29" s="8"/>
    </row>
    <row r="31" spans="1:7" x14ac:dyDescent="0.3">
      <c r="A31" s="59" t="s">
        <v>132</v>
      </c>
      <c r="B31" s="146"/>
      <c r="C31" s="146"/>
      <c r="D31" s="146"/>
      <c r="E31" s="146"/>
      <c r="F31" s="146"/>
      <c r="G31" s="146"/>
    </row>
    <row r="32" spans="1:7" x14ac:dyDescent="0.3">
      <c r="A32" s="143" t="s">
        <v>29</v>
      </c>
      <c r="B32" s="143"/>
      <c r="C32" s="143"/>
      <c r="D32" s="143"/>
      <c r="E32" s="143"/>
      <c r="F32" s="143"/>
      <c r="G32" s="143"/>
    </row>
    <row r="33" spans="1:7" ht="30" x14ac:dyDescent="0.3">
      <c r="A33" s="95" t="s">
        <v>0</v>
      </c>
      <c r="B33" s="95" t="s">
        <v>1</v>
      </c>
      <c r="C33" s="95"/>
      <c r="D33" s="97" t="s">
        <v>2</v>
      </c>
      <c r="E33" s="97" t="s">
        <v>3</v>
      </c>
      <c r="F33" s="95" t="s">
        <v>4</v>
      </c>
      <c r="G33" s="49" t="s">
        <v>5</v>
      </c>
    </row>
    <row r="34" spans="1:7" x14ac:dyDescent="0.3">
      <c r="A34" s="95"/>
      <c r="B34" s="49" t="s">
        <v>6</v>
      </c>
      <c r="C34" s="49" t="s">
        <v>7</v>
      </c>
      <c r="D34" s="98"/>
      <c r="E34" s="98"/>
      <c r="F34" s="95"/>
      <c r="G34" s="49" t="s">
        <v>8</v>
      </c>
    </row>
    <row r="35" spans="1:7" x14ac:dyDescent="0.3">
      <c r="A35" s="50" t="s">
        <v>30</v>
      </c>
      <c r="B35" s="144">
        <v>80</v>
      </c>
      <c r="C35" s="144">
        <f>B35*75%</f>
        <v>60</v>
      </c>
      <c r="D35" s="144">
        <f>18.6%*C35</f>
        <v>11.160000000000002</v>
      </c>
      <c r="E35" s="144">
        <f>17.3%*C35</f>
        <v>10.38</v>
      </c>
      <c r="F35" s="144"/>
      <c r="G35" s="144">
        <f>4*(D35+F35)+9*E35</f>
        <v>138.06</v>
      </c>
    </row>
    <row r="36" spans="1:7" x14ac:dyDescent="0.3">
      <c r="A36" s="50" t="s">
        <v>9</v>
      </c>
      <c r="B36" s="144">
        <v>3</v>
      </c>
      <c r="C36" s="144">
        <f>100%*B36</f>
        <v>3</v>
      </c>
      <c r="D36" s="144"/>
      <c r="E36" s="144">
        <f>72.57%*C36</f>
        <v>2.1770999999999998</v>
      </c>
      <c r="F36" s="144"/>
      <c r="G36" s="144">
        <f>4*(D36+F36)+9*E36</f>
        <v>19.593899999999998</v>
      </c>
    </row>
    <row r="37" spans="1:7" x14ac:dyDescent="0.3">
      <c r="A37" s="50" t="s">
        <v>11</v>
      </c>
      <c r="B37" s="144">
        <v>2</v>
      </c>
      <c r="C37" s="144">
        <f>100%*B37</f>
        <v>2</v>
      </c>
      <c r="D37" s="144"/>
      <c r="E37" s="144"/>
      <c r="F37" s="144"/>
      <c r="G37" s="144">
        <f>4*(D37+F37)+9*E37</f>
        <v>0</v>
      </c>
    </row>
    <row r="38" spans="1:7" x14ac:dyDescent="0.3">
      <c r="A38" s="50" t="s">
        <v>31</v>
      </c>
      <c r="B38" s="144">
        <v>10</v>
      </c>
      <c r="C38" s="144">
        <f>B38*100%</f>
        <v>10</v>
      </c>
      <c r="D38" s="144">
        <f>7.4%*C38</f>
        <v>0.7400000000000001</v>
      </c>
      <c r="E38" s="144">
        <f>3.14%*C38</f>
        <v>0.31400000000000006</v>
      </c>
      <c r="F38" s="144">
        <f>62.3%*C38</f>
        <v>6.23</v>
      </c>
      <c r="G38" s="144">
        <f>4*(D38+F38)+9*E38</f>
        <v>30.706000000000003</v>
      </c>
    </row>
    <row r="39" spans="1:7" x14ac:dyDescent="0.3">
      <c r="A39" s="50" t="s">
        <v>32</v>
      </c>
      <c r="B39" s="144">
        <v>80</v>
      </c>
      <c r="C39" s="144">
        <f>90%*B39</f>
        <v>72</v>
      </c>
      <c r="D39" s="144">
        <f>1.1%*C39</f>
        <v>0.79200000000000004</v>
      </c>
      <c r="E39" s="144">
        <f>0.2%*C39</f>
        <v>0.14400000000000002</v>
      </c>
      <c r="F39" s="144">
        <f>3.8%*C39</f>
        <v>2.7359999999999998</v>
      </c>
      <c r="G39" s="144">
        <f t="shared" ref="G39:G44" si="0">4*(D39+F39)+9*E39</f>
        <v>15.407999999999998</v>
      </c>
    </row>
    <row r="40" spans="1:7" ht="45" x14ac:dyDescent="0.3">
      <c r="A40" s="50" t="s">
        <v>33</v>
      </c>
      <c r="B40" s="144">
        <v>80</v>
      </c>
      <c r="C40" s="144">
        <f>85%*B40</f>
        <v>68</v>
      </c>
      <c r="D40" s="144">
        <f>1.5%*C40</f>
        <v>1.02</v>
      </c>
      <c r="E40" s="144"/>
      <c r="F40" s="144">
        <f>6.2%*C40</f>
        <v>4.2160000000000002</v>
      </c>
      <c r="G40" s="144">
        <f t="shared" si="0"/>
        <v>20.944000000000003</v>
      </c>
    </row>
    <row r="41" spans="1:7" x14ac:dyDescent="0.3">
      <c r="A41" s="50" t="s">
        <v>17</v>
      </c>
      <c r="B41" s="144">
        <v>10</v>
      </c>
      <c r="C41" s="144">
        <f>100%*B41</f>
        <v>10</v>
      </c>
      <c r="D41" s="144">
        <f>2.6%*C41</f>
        <v>0.26</v>
      </c>
      <c r="E41" s="144">
        <f>10%*C41</f>
        <v>1</v>
      </c>
      <c r="F41" s="144">
        <f>3.8%*C41</f>
        <v>0.38</v>
      </c>
      <c r="G41" s="144">
        <f t="shared" si="0"/>
        <v>11.56</v>
      </c>
    </row>
    <row r="42" spans="1:7" x14ac:dyDescent="0.3">
      <c r="A42" s="50" t="s">
        <v>15</v>
      </c>
      <c r="B42" s="144">
        <v>5</v>
      </c>
      <c r="C42" s="144">
        <f>90%*B42</f>
        <v>4.5</v>
      </c>
      <c r="D42" s="144">
        <f>1.58%*C42</f>
        <v>7.110000000000001E-2</v>
      </c>
      <c r="E42" s="144"/>
      <c r="F42" s="144">
        <f>9.5%*C42</f>
        <v>0.42749999999999999</v>
      </c>
      <c r="G42" s="144">
        <f t="shared" si="0"/>
        <v>1.9944</v>
      </c>
    </row>
    <row r="43" spans="1:7" x14ac:dyDescent="0.3">
      <c r="A43" s="50" t="s">
        <v>18</v>
      </c>
      <c r="B43" s="144">
        <v>0.5</v>
      </c>
      <c r="C43" s="144">
        <f>92%*B43</f>
        <v>0.46</v>
      </c>
      <c r="D43" s="144"/>
      <c r="E43" s="144"/>
      <c r="F43" s="144"/>
      <c r="G43" s="144">
        <f t="shared" si="0"/>
        <v>0</v>
      </c>
    </row>
    <row r="44" spans="1:7" x14ac:dyDescent="0.3">
      <c r="A44" s="50" t="s">
        <v>19</v>
      </c>
      <c r="B44" s="144">
        <v>6</v>
      </c>
      <c r="C44" s="144">
        <f>85%*B44</f>
        <v>5.0999999999999996</v>
      </c>
      <c r="D44" s="144"/>
      <c r="E44" s="144"/>
      <c r="F44" s="144"/>
      <c r="G44" s="144">
        <f t="shared" si="0"/>
        <v>0</v>
      </c>
    </row>
    <row r="45" spans="1:7" x14ac:dyDescent="0.3">
      <c r="A45" s="49" t="s">
        <v>12</v>
      </c>
      <c r="B45" s="99" t="s">
        <v>34</v>
      </c>
      <c r="C45" s="100"/>
      <c r="D45" s="145">
        <f>SUM(D35:D44)</f>
        <v>14.043100000000001</v>
      </c>
      <c r="E45" s="145">
        <f>SUM(E35:E44)</f>
        <v>14.0151</v>
      </c>
      <c r="F45" s="145">
        <f>SUM(F35:F44)</f>
        <v>13.989500000000003</v>
      </c>
      <c r="G45" s="145">
        <f>SUM(G35:G44)</f>
        <v>238.26629999999997</v>
      </c>
    </row>
    <row r="47" spans="1:7" x14ac:dyDescent="0.3">
      <c r="A47" s="143" t="s">
        <v>35</v>
      </c>
      <c r="B47" s="143"/>
      <c r="C47" s="143"/>
      <c r="D47" s="143"/>
      <c r="E47" s="143"/>
      <c r="F47" s="143"/>
      <c r="G47" s="143"/>
    </row>
    <row r="48" spans="1:7" ht="24.75" customHeight="1" x14ac:dyDescent="0.3">
      <c r="A48" s="95" t="s">
        <v>0</v>
      </c>
      <c r="B48" s="95" t="s">
        <v>1</v>
      </c>
      <c r="C48" s="95"/>
      <c r="D48" s="97" t="s">
        <v>2</v>
      </c>
      <c r="E48" s="97" t="s">
        <v>3</v>
      </c>
      <c r="F48" s="95" t="s">
        <v>36</v>
      </c>
      <c r="G48" s="49" t="s">
        <v>5</v>
      </c>
    </row>
    <row r="49" spans="1:7" x14ac:dyDescent="0.3">
      <c r="A49" s="95"/>
      <c r="B49" s="49" t="s">
        <v>6</v>
      </c>
      <c r="C49" s="49" t="s">
        <v>7</v>
      </c>
      <c r="D49" s="98"/>
      <c r="E49" s="98"/>
      <c r="F49" s="95"/>
      <c r="G49" s="49" t="s">
        <v>8</v>
      </c>
    </row>
    <row r="50" spans="1:7" ht="30" x14ac:dyDescent="0.3">
      <c r="A50" s="110" t="s">
        <v>37</v>
      </c>
      <c r="B50" s="144">
        <v>65</v>
      </c>
      <c r="C50" s="144">
        <f>75%*B50</f>
        <v>48.75</v>
      </c>
      <c r="D50" s="144">
        <f>1.87%*C50</f>
        <v>0.91162500000000002</v>
      </c>
      <c r="E50" s="144"/>
      <c r="F50" s="144">
        <f>4.16%*C50</f>
        <v>2.028</v>
      </c>
      <c r="G50" s="144">
        <f>4*(D50+F50)+9*E50</f>
        <v>11.7585</v>
      </c>
    </row>
    <row r="51" spans="1:7" x14ac:dyDescent="0.3">
      <c r="A51" s="110" t="s">
        <v>23</v>
      </c>
      <c r="B51" s="144">
        <v>25</v>
      </c>
      <c r="C51" s="144">
        <f>80%*B51</f>
        <v>20</v>
      </c>
      <c r="D51" s="144">
        <f>1.77%*C51</f>
        <v>0.35399999999999998</v>
      </c>
      <c r="E51" s="144"/>
      <c r="F51" s="144">
        <f>11%*C51</f>
        <v>2.2000000000000002</v>
      </c>
      <c r="G51" s="144">
        <f>4*(D51+F51)+9*E51</f>
        <v>10.216000000000001</v>
      </c>
    </row>
    <row r="52" spans="1:7" x14ac:dyDescent="0.3">
      <c r="A52" s="50" t="s">
        <v>15</v>
      </c>
      <c r="B52" s="144">
        <v>25</v>
      </c>
      <c r="C52" s="144">
        <f>90%*B52</f>
        <v>22.5</v>
      </c>
      <c r="D52" s="144">
        <f>1.58%*C52</f>
        <v>0.35550000000000004</v>
      </c>
      <c r="E52" s="144"/>
      <c r="F52" s="144">
        <f>9.5%*C52</f>
        <v>2.1375000000000002</v>
      </c>
      <c r="G52" s="144">
        <f>4*(D52+F52)+9*E52</f>
        <v>9.9720000000000013</v>
      </c>
    </row>
    <row r="53" spans="1:7" ht="30" x14ac:dyDescent="0.3">
      <c r="A53" s="50" t="s">
        <v>38</v>
      </c>
      <c r="B53" s="144">
        <v>40</v>
      </c>
      <c r="C53" s="144">
        <f>85%*B53</f>
        <v>34</v>
      </c>
      <c r="D53" s="144">
        <f>1.5%*C53</f>
        <v>0.51</v>
      </c>
      <c r="E53" s="144"/>
      <c r="F53" s="144">
        <f>6.2%*C53</f>
        <v>2.1080000000000001</v>
      </c>
      <c r="G53" s="144">
        <f>4*(D53+F53)+9*E53</f>
        <v>10.472000000000001</v>
      </c>
    </row>
    <row r="54" spans="1:7" ht="45" x14ac:dyDescent="0.3">
      <c r="A54" s="178" t="s">
        <v>39</v>
      </c>
      <c r="B54" s="144">
        <v>60</v>
      </c>
      <c r="C54" s="144">
        <v>40</v>
      </c>
      <c r="D54" s="144">
        <v>1.04</v>
      </c>
      <c r="E54" s="144">
        <v>0.08</v>
      </c>
      <c r="F54" s="144">
        <v>2.72</v>
      </c>
      <c r="G54" s="144">
        <v>15.76</v>
      </c>
    </row>
    <row r="55" spans="1:7" x14ac:dyDescent="0.3">
      <c r="A55" s="178" t="s">
        <v>17</v>
      </c>
      <c r="B55" s="144">
        <v>20</v>
      </c>
      <c r="C55" s="144">
        <f>100%*B55</f>
        <v>20</v>
      </c>
      <c r="D55" s="144">
        <f>2.6%*C55</f>
        <v>0.52</v>
      </c>
      <c r="E55" s="144">
        <f>15%*C55</f>
        <v>3</v>
      </c>
      <c r="F55" s="144">
        <f>3.8%*C55</f>
        <v>0.76</v>
      </c>
      <c r="G55" s="144">
        <f>4*(D55+F55)+9*E55</f>
        <v>32.119999999999997</v>
      </c>
    </row>
    <row r="56" spans="1:7" x14ac:dyDescent="0.3">
      <c r="A56" s="178" t="s">
        <v>10</v>
      </c>
      <c r="B56" s="144"/>
      <c r="C56" s="144"/>
      <c r="D56" s="144"/>
      <c r="E56" s="144"/>
      <c r="F56" s="144"/>
      <c r="G56" s="144"/>
    </row>
    <row r="57" spans="1:7" ht="30" x14ac:dyDescent="0.3">
      <c r="A57" s="50" t="s">
        <v>40</v>
      </c>
      <c r="B57" s="144">
        <v>0.5</v>
      </c>
      <c r="C57" s="179">
        <v>30</v>
      </c>
      <c r="D57" s="144">
        <f>1.9%*C57</f>
        <v>0.56999999999999995</v>
      </c>
      <c r="E57" s="144"/>
      <c r="F57" s="144">
        <f>3.6%*C57</f>
        <v>1.08</v>
      </c>
      <c r="G57" s="144">
        <f>4*(D57+F57)+9*E57</f>
        <v>6.6</v>
      </c>
    </row>
    <row r="58" spans="1:7" x14ac:dyDescent="0.3">
      <c r="A58" s="49" t="s">
        <v>12</v>
      </c>
      <c r="B58" s="99">
        <v>200</v>
      </c>
      <c r="C58" s="100"/>
      <c r="D58" s="145">
        <f>SUM(D50:D57)</f>
        <v>4.2611249999999998</v>
      </c>
      <c r="E58" s="145">
        <f>SUM(E50:E57)</f>
        <v>3.08</v>
      </c>
      <c r="F58" s="145">
        <f>SUM(F50:F57)</f>
        <v>13.0335</v>
      </c>
      <c r="G58" s="145">
        <f>SUM(G50:G57)</f>
        <v>96.898499999999984</v>
      </c>
    </row>
    <row r="59" spans="1:7" s="180" customFormat="1" x14ac:dyDescent="0.3">
      <c r="A59" s="9"/>
      <c r="B59" s="9"/>
      <c r="C59" s="9"/>
      <c r="D59" s="9"/>
      <c r="E59" s="9"/>
      <c r="F59" s="9"/>
      <c r="G59" s="9"/>
    </row>
    <row r="60" spans="1:7" s="129" customFormat="1" x14ac:dyDescent="0.3">
      <c r="A60" s="134" t="s">
        <v>62</v>
      </c>
      <c r="B60" s="135">
        <v>200</v>
      </c>
      <c r="C60" s="135">
        <f>100%*B60</f>
        <v>200</v>
      </c>
      <c r="D60" s="135">
        <f>0.66%*C60</f>
        <v>1.32</v>
      </c>
      <c r="E60" s="135"/>
      <c r="F60" s="135">
        <f>17.3%*C60</f>
        <v>34.6</v>
      </c>
      <c r="G60" s="135">
        <f>4*(D60+F60)+9*E60</f>
        <v>143.68</v>
      </c>
    </row>
    <row r="61" spans="1:7" x14ac:dyDescent="0.3">
      <c r="A61" s="49" t="s">
        <v>49</v>
      </c>
      <c r="B61" s="145">
        <v>250</v>
      </c>
      <c r="C61" s="145">
        <f>B61*100%</f>
        <v>250</v>
      </c>
      <c r="D61" s="145">
        <f>C61*7.9%</f>
        <v>19.75</v>
      </c>
      <c r="E61" s="145">
        <f>C61*1%</f>
        <v>2.5</v>
      </c>
      <c r="F61" s="145">
        <f>C61*49.6%</f>
        <v>124</v>
      </c>
      <c r="G61" s="145">
        <f>4*(D61+F61)+9*E61</f>
        <v>597.5</v>
      </c>
    </row>
    <row r="63" spans="1:7" x14ac:dyDescent="0.3">
      <c r="A63" s="59" t="s">
        <v>128</v>
      </c>
      <c r="B63" s="74">
        <f>C61+B58+250+50+C60</f>
        <v>950</v>
      </c>
      <c r="C63" s="74"/>
      <c r="D63" s="45">
        <f>D61+D58+D45+D60</f>
        <v>39.374225000000003</v>
      </c>
      <c r="E63" s="45">
        <f t="shared" ref="E63:G63" si="1">E61+E58+E45+E60</f>
        <v>19.595100000000002</v>
      </c>
      <c r="F63" s="45">
        <f t="shared" si="1"/>
        <v>185.62299999999999</v>
      </c>
      <c r="G63" s="45">
        <f t="shared" si="1"/>
        <v>1076.3448000000001</v>
      </c>
    </row>
    <row r="64" spans="1:7" s="6" customFormat="1" x14ac:dyDescent="0.3">
      <c r="A64" s="8"/>
      <c r="B64" s="8"/>
      <c r="C64" s="8"/>
      <c r="D64" s="8"/>
      <c r="E64" s="8"/>
      <c r="F64" s="8"/>
      <c r="G64" s="8"/>
    </row>
    <row r="66" spans="1:7" x14ac:dyDescent="0.3">
      <c r="A66" s="59" t="s">
        <v>130</v>
      </c>
      <c r="B66" s="146"/>
      <c r="C66" s="146"/>
      <c r="D66" s="146"/>
      <c r="E66" s="146"/>
      <c r="F66" s="146"/>
      <c r="G66" s="146"/>
    </row>
    <row r="67" spans="1:7" x14ac:dyDescent="0.3">
      <c r="A67" s="143" t="s">
        <v>50</v>
      </c>
      <c r="B67" s="143"/>
      <c r="C67" s="143"/>
      <c r="D67" s="143"/>
      <c r="E67" s="143"/>
      <c r="F67" s="143"/>
      <c r="G67" s="143"/>
    </row>
    <row r="68" spans="1:7" ht="30" x14ac:dyDescent="0.3">
      <c r="A68" s="95" t="s">
        <v>0</v>
      </c>
      <c r="B68" s="95" t="s">
        <v>1</v>
      </c>
      <c r="C68" s="95"/>
      <c r="D68" s="97" t="s">
        <v>2</v>
      </c>
      <c r="E68" s="97" t="s">
        <v>3</v>
      </c>
      <c r="F68" s="95" t="s">
        <v>36</v>
      </c>
      <c r="G68" s="49" t="s">
        <v>5</v>
      </c>
    </row>
    <row r="69" spans="1:7" x14ac:dyDescent="0.3">
      <c r="A69" s="95"/>
      <c r="B69" s="49" t="s">
        <v>6</v>
      </c>
      <c r="C69" s="49" t="s">
        <v>7</v>
      </c>
      <c r="D69" s="98"/>
      <c r="E69" s="98"/>
      <c r="F69" s="95"/>
      <c r="G69" s="49" t="s">
        <v>8</v>
      </c>
    </row>
    <row r="70" spans="1:7" x14ac:dyDescent="0.3">
      <c r="A70" s="110" t="s">
        <v>16</v>
      </c>
      <c r="B70" s="144">
        <v>160</v>
      </c>
      <c r="C70" s="144">
        <f>B70*72%</f>
        <v>115.19999999999999</v>
      </c>
      <c r="D70" s="144">
        <f>18.5%*C70</f>
        <v>21.311999999999998</v>
      </c>
      <c r="E70" s="144">
        <f>15.9%*C70</f>
        <v>18.316799999999997</v>
      </c>
      <c r="F70" s="144"/>
      <c r="G70" s="144">
        <f t="shared" ref="G70:G75" si="2">4*(D70+F70)+9*E70</f>
        <v>250.09919999999997</v>
      </c>
    </row>
    <row r="71" spans="1:7" x14ac:dyDescent="0.3">
      <c r="A71" s="110" t="s">
        <v>51</v>
      </c>
      <c r="B71" s="144">
        <v>5</v>
      </c>
      <c r="C71" s="144">
        <f>100%*B71</f>
        <v>5</v>
      </c>
      <c r="D71" s="144"/>
      <c r="E71" s="144"/>
      <c r="F71" s="144">
        <f>17.7%*C71</f>
        <v>0.88500000000000001</v>
      </c>
      <c r="G71" s="144">
        <f t="shared" si="2"/>
        <v>3.54</v>
      </c>
    </row>
    <row r="72" spans="1:7" x14ac:dyDescent="0.3">
      <c r="A72" s="110" t="s">
        <v>19</v>
      </c>
      <c r="B72" s="144">
        <v>14</v>
      </c>
      <c r="C72" s="144">
        <f>85%*B72</f>
        <v>11.9</v>
      </c>
      <c r="D72" s="144"/>
      <c r="E72" s="144"/>
      <c r="F72" s="144"/>
      <c r="G72" s="144">
        <f t="shared" si="2"/>
        <v>0</v>
      </c>
    </row>
    <row r="73" spans="1:7" x14ac:dyDescent="0.3">
      <c r="A73" s="50" t="s">
        <v>15</v>
      </c>
      <c r="B73" s="144">
        <v>10</v>
      </c>
      <c r="C73" s="144">
        <f>90%*B73</f>
        <v>9</v>
      </c>
      <c r="D73" s="144">
        <f>1.58%*C73</f>
        <v>0.14220000000000002</v>
      </c>
      <c r="E73" s="144"/>
      <c r="F73" s="144">
        <f>9.5%*C73</f>
        <v>0.85499999999999998</v>
      </c>
      <c r="G73" s="144">
        <f t="shared" si="2"/>
        <v>3.9887999999999999</v>
      </c>
    </row>
    <row r="74" spans="1:7" x14ac:dyDescent="0.3">
      <c r="A74" s="110" t="s">
        <v>9</v>
      </c>
      <c r="B74" s="144">
        <v>5</v>
      </c>
      <c r="C74" s="144">
        <f>100%*B74</f>
        <v>5</v>
      </c>
      <c r="D74" s="144">
        <f>0.5%*C74</f>
        <v>2.5000000000000001E-2</v>
      </c>
      <c r="E74" s="144">
        <f>82.5%*C74</f>
        <v>4.125</v>
      </c>
      <c r="F74" s="144">
        <f>0.8%*C74</f>
        <v>0.04</v>
      </c>
      <c r="G74" s="144">
        <f t="shared" si="2"/>
        <v>37.384999999999998</v>
      </c>
    </row>
    <row r="75" spans="1:7" x14ac:dyDescent="0.3">
      <c r="A75" s="50" t="s">
        <v>11</v>
      </c>
      <c r="B75" s="144">
        <v>1</v>
      </c>
      <c r="C75" s="144">
        <f>100%*B75</f>
        <v>1</v>
      </c>
      <c r="D75" s="144"/>
      <c r="E75" s="144"/>
      <c r="F75" s="144"/>
      <c r="G75" s="144">
        <f t="shared" si="2"/>
        <v>0</v>
      </c>
    </row>
    <row r="76" spans="1:7" x14ac:dyDescent="0.3">
      <c r="A76" s="49" t="s">
        <v>12</v>
      </c>
      <c r="B76" s="99">
        <v>150</v>
      </c>
      <c r="C76" s="100"/>
      <c r="D76" s="145">
        <f>SUM(D70:D75)</f>
        <v>21.479199999999995</v>
      </c>
      <c r="E76" s="145">
        <f>SUM(E70:E75)</f>
        <v>22.441799999999997</v>
      </c>
      <c r="F76" s="145">
        <f>SUM(F70:F75)</f>
        <v>1.78</v>
      </c>
      <c r="G76" s="145">
        <f>SUM(G70:G75)</f>
        <v>295.01299999999998</v>
      </c>
    </row>
    <row r="78" spans="1:7" ht="29.25" customHeight="1" x14ac:dyDescent="0.3">
      <c r="A78" s="181" t="s">
        <v>52</v>
      </c>
      <c r="B78" s="181"/>
      <c r="C78" s="181"/>
    </row>
    <row r="79" spans="1:7" ht="30" x14ac:dyDescent="0.3">
      <c r="A79" s="95" t="s">
        <v>0</v>
      </c>
      <c r="B79" s="95" t="s">
        <v>1</v>
      </c>
      <c r="C79" s="95"/>
      <c r="D79" s="97" t="s">
        <v>2</v>
      </c>
      <c r="E79" s="97" t="s">
        <v>3</v>
      </c>
      <c r="F79" s="95" t="s">
        <v>36</v>
      </c>
      <c r="G79" s="49" t="s">
        <v>5</v>
      </c>
    </row>
    <row r="80" spans="1:7" x14ac:dyDescent="0.3">
      <c r="A80" s="95"/>
      <c r="B80" s="49" t="s">
        <v>6</v>
      </c>
      <c r="C80" s="49" t="s">
        <v>7</v>
      </c>
      <c r="D80" s="98"/>
      <c r="E80" s="98"/>
      <c r="F80" s="95"/>
      <c r="G80" s="49" t="s">
        <v>8</v>
      </c>
    </row>
    <row r="81" spans="1:7" x14ac:dyDescent="0.3">
      <c r="A81" s="110" t="s">
        <v>53</v>
      </c>
      <c r="B81" s="144">
        <v>150</v>
      </c>
      <c r="C81" s="144">
        <f>100%*B81</f>
        <v>150</v>
      </c>
      <c r="D81" s="144">
        <f>11.8%*C81</f>
        <v>17.700000000000003</v>
      </c>
      <c r="E81" s="144">
        <f>20.1%*C81</f>
        <v>30.150000000000002</v>
      </c>
      <c r="F81" s="144">
        <f>0.87%*C81</f>
        <v>1.3049999999999999</v>
      </c>
      <c r="G81" s="144">
        <f>4*(D81+F81)+9*E81</f>
        <v>347.37</v>
      </c>
    </row>
    <row r="82" spans="1:7" x14ac:dyDescent="0.3">
      <c r="A82" s="65" t="s">
        <v>12</v>
      </c>
      <c r="B82" s="155">
        <v>150</v>
      </c>
      <c r="C82" s="156"/>
      <c r="D82" s="145">
        <f>SUM(D81:D81)</f>
        <v>17.700000000000003</v>
      </c>
      <c r="E82" s="145">
        <f>SUM(E81:E81)</f>
        <v>30.150000000000002</v>
      </c>
      <c r="F82" s="145">
        <f>SUM(F81:F81)</f>
        <v>1.3049999999999999</v>
      </c>
      <c r="G82" s="145">
        <f>SUM(G81:G81)</f>
        <v>347.37</v>
      </c>
    </row>
    <row r="83" spans="1:7" x14ac:dyDescent="0.3">
      <c r="A83" s="59"/>
      <c r="B83" s="158"/>
      <c r="C83" s="158"/>
      <c r="D83" s="158"/>
      <c r="E83" s="158"/>
      <c r="F83" s="158"/>
      <c r="G83" s="158"/>
    </row>
    <row r="84" spans="1:7" ht="30" x14ac:dyDescent="0.3">
      <c r="A84" s="173" t="s">
        <v>54</v>
      </c>
      <c r="B84" s="173"/>
      <c r="C84" s="173"/>
      <c r="D84" s="173"/>
      <c r="E84" s="173"/>
      <c r="F84" s="173"/>
      <c r="G84" s="173"/>
    </row>
    <row r="85" spans="1:7" ht="30" x14ac:dyDescent="0.3">
      <c r="A85" s="95" t="s">
        <v>0</v>
      </c>
      <c r="B85" s="95" t="s">
        <v>1</v>
      </c>
      <c r="C85" s="95"/>
      <c r="D85" s="97" t="s">
        <v>2</v>
      </c>
      <c r="E85" s="97" t="s">
        <v>3</v>
      </c>
      <c r="F85" s="95" t="s">
        <v>36</v>
      </c>
      <c r="G85" s="49" t="s">
        <v>5</v>
      </c>
    </row>
    <row r="86" spans="1:7" x14ac:dyDescent="0.3">
      <c r="A86" s="95"/>
      <c r="B86" s="49" t="s">
        <v>6</v>
      </c>
      <c r="C86" s="49" t="s">
        <v>7</v>
      </c>
      <c r="D86" s="98"/>
      <c r="E86" s="98"/>
      <c r="F86" s="95"/>
      <c r="G86" s="49" t="s">
        <v>8</v>
      </c>
    </row>
    <row r="87" spans="1:7" x14ac:dyDescent="0.3">
      <c r="A87" s="110" t="s">
        <v>27</v>
      </c>
      <c r="B87" s="144">
        <v>80</v>
      </c>
      <c r="C87" s="144">
        <f>B87*100%</f>
        <v>80</v>
      </c>
      <c r="D87" s="144">
        <f>10.78%*C87</f>
        <v>8.6239999999999988</v>
      </c>
      <c r="E87" s="144">
        <f>3.14%*C87</f>
        <v>2.5120000000000005</v>
      </c>
      <c r="F87" s="144">
        <f>55.9%*C87</f>
        <v>44.72</v>
      </c>
      <c r="G87" s="144">
        <f>4*(D87+F87)+9*E87</f>
        <v>235.98399999999998</v>
      </c>
    </row>
    <row r="88" spans="1:7" x14ac:dyDescent="0.3">
      <c r="A88" s="110" t="s">
        <v>55</v>
      </c>
      <c r="B88" s="144">
        <v>200</v>
      </c>
      <c r="C88" s="144">
        <v>200</v>
      </c>
      <c r="D88" s="144"/>
      <c r="E88" s="144"/>
      <c r="F88" s="144"/>
      <c r="G88" s="144"/>
    </row>
    <row r="89" spans="1:7" x14ac:dyDescent="0.3">
      <c r="A89" s="110" t="s">
        <v>11</v>
      </c>
      <c r="B89" s="144">
        <v>1.5</v>
      </c>
      <c r="C89" s="144">
        <v>1.5</v>
      </c>
      <c r="D89" s="144">
        <f>12.7%*C89</f>
        <v>0.1905</v>
      </c>
      <c r="E89" s="144">
        <f>11.5%*C89</f>
        <v>0.17250000000000001</v>
      </c>
      <c r="F89" s="144"/>
      <c r="G89" s="144">
        <f>4*(D89+F89)+9*E89</f>
        <v>2.3145000000000002</v>
      </c>
    </row>
    <row r="90" spans="1:7" ht="30" x14ac:dyDescent="0.3">
      <c r="A90" s="110" t="s">
        <v>56</v>
      </c>
      <c r="B90" s="144">
        <v>5</v>
      </c>
      <c r="C90" s="144">
        <f>100%*B90</f>
        <v>5</v>
      </c>
      <c r="D90" s="144">
        <f>0.5%*C90</f>
        <v>2.5000000000000001E-2</v>
      </c>
      <c r="E90" s="179">
        <f>82.5%*C90</f>
        <v>4.125</v>
      </c>
      <c r="F90" s="144">
        <f>0.8%*C90</f>
        <v>0.04</v>
      </c>
      <c r="G90" s="144">
        <f>4*(D90+F90)+9*E90</f>
        <v>37.384999999999998</v>
      </c>
    </row>
    <row r="91" spans="1:7" x14ac:dyDescent="0.3">
      <c r="A91" s="118" t="s">
        <v>12</v>
      </c>
      <c r="B91" s="155">
        <v>250</v>
      </c>
      <c r="C91" s="156"/>
      <c r="D91" s="182">
        <f>SUM(D87:D90)</f>
        <v>8.8394999999999992</v>
      </c>
      <c r="E91" s="182">
        <f>SUM(E87:E90)</f>
        <v>6.8094999999999999</v>
      </c>
      <c r="F91" s="182">
        <f>SUM(F87:F90)</f>
        <v>44.76</v>
      </c>
      <c r="G91" s="182">
        <f>SUM(G87:G90)</f>
        <v>275.68349999999998</v>
      </c>
    </row>
    <row r="92" spans="1:7" x14ac:dyDescent="0.3">
      <c r="A92" s="68"/>
      <c r="B92" s="158"/>
      <c r="C92" s="158"/>
      <c r="D92" s="158"/>
      <c r="E92" s="158"/>
      <c r="F92" s="158"/>
      <c r="G92" s="158"/>
    </row>
    <row r="93" spans="1:7" x14ac:dyDescent="0.3">
      <c r="A93" s="59"/>
      <c r="B93" s="158"/>
      <c r="C93" s="158"/>
      <c r="D93" s="158"/>
      <c r="E93" s="158"/>
      <c r="F93" s="158"/>
      <c r="G93" s="158"/>
    </row>
    <row r="94" spans="1:7" ht="30" x14ac:dyDescent="0.3">
      <c r="A94" s="95" t="s">
        <v>0</v>
      </c>
      <c r="B94" s="95" t="s">
        <v>1</v>
      </c>
      <c r="C94" s="95"/>
      <c r="D94" s="97" t="s">
        <v>2</v>
      </c>
      <c r="E94" s="97" t="s">
        <v>3</v>
      </c>
      <c r="F94" s="95" t="s">
        <v>36</v>
      </c>
      <c r="G94" s="49" t="s">
        <v>5</v>
      </c>
    </row>
    <row r="95" spans="1:7" x14ac:dyDescent="0.3">
      <c r="A95" s="95"/>
      <c r="B95" s="49" t="s">
        <v>6</v>
      </c>
      <c r="C95" s="49" t="s">
        <v>7</v>
      </c>
      <c r="D95" s="98"/>
      <c r="E95" s="98"/>
      <c r="F95" s="95"/>
      <c r="G95" s="49" t="s">
        <v>8</v>
      </c>
    </row>
    <row r="96" spans="1:7" x14ac:dyDescent="0.3">
      <c r="A96" s="50" t="s">
        <v>57</v>
      </c>
      <c r="B96" s="144">
        <v>70</v>
      </c>
      <c r="C96" s="144">
        <f>80%*B96</f>
        <v>56</v>
      </c>
      <c r="D96" s="144">
        <f>17.9%*C96</f>
        <v>10.023999999999999</v>
      </c>
      <c r="E96" s="144">
        <f>14.3%*C96</f>
        <v>8.0080000000000009</v>
      </c>
      <c r="F96" s="144"/>
      <c r="G96" s="144">
        <f>4*(D96+F96)+9*E96</f>
        <v>112.16800000000001</v>
      </c>
    </row>
    <row r="97" spans="1:7" x14ac:dyDescent="0.3">
      <c r="A97" s="110"/>
      <c r="B97" s="144"/>
      <c r="C97" s="144"/>
      <c r="D97" s="144"/>
      <c r="E97" s="144"/>
      <c r="F97" s="144"/>
      <c r="G97" s="144"/>
    </row>
    <row r="98" spans="1:7" x14ac:dyDescent="0.3">
      <c r="A98" s="65" t="s">
        <v>49</v>
      </c>
      <c r="B98" s="145">
        <v>250</v>
      </c>
      <c r="C98" s="145">
        <f>B98*100%</f>
        <v>250</v>
      </c>
      <c r="D98" s="145">
        <f>C98*7.9%</f>
        <v>19.75</v>
      </c>
      <c r="E98" s="145">
        <f>C98*1%</f>
        <v>2.5</v>
      </c>
      <c r="F98" s="145">
        <f>C98*49.6%</f>
        <v>124</v>
      </c>
      <c r="G98" s="145">
        <f>4*(D98+F98)+9*E98</f>
        <v>597.5</v>
      </c>
    </row>
    <row r="100" spans="1:7" hidden="1" x14ac:dyDescent="0.3">
      <c r="A100" s="114" t="s">
        <v>121</v>
      </c>
      <c r="B100" s="74">
        <f>C98+C97+C96+B91+B82+B76</f>
        <v>856</v>
      </c>
      <c r="C100" s="74"/>
      <c r="D100" s="45">
        <f>D98+D97+D96+D91+D82+D76</f>
        <v>77.792699999999996</v>
      </c>
      <c r="E100" s="45">
        <f>E98+E97+E96+E91+E82+E76</f>
        <v>69.909300000000002</v>
      </c>
      <c r="F100" s="45">
        <f>F98+F97+F96+F91+F82+F76</f>
        <v>171.845</v>
      </c>
      <c r="G100" s="45">
        <f>G98+G97+G96+G91+G82+G76</f>
        <v>1627.7345</v>
      </c>
    </row>
    <row r="101" spans="1:7" x14ac:dyDescent="0.3">
      <c r="A101" s="114" t="s">
        <v>129</v>
      </c>
      <c r="B101" s="74">
        <f>C98+C96+B91+B82+B76</f>
        <v>856</v>
      </c>
      <c r="C101" s="74"/>
      <c r="D101" s="45">
        <f>D98+D91+D82+D76</f>
        <v>67.768699999999995</v>
      </c>
      <c r="E101" s="45">
        <f t="shared" ref="E101:F101" si="3">E98+E91+E82+E76</f>
        <v>61.901300000000006</v>
      </c>
      <c r="F101" s="45">
        <f t="shared" si="3"/>
        <v>171.845</v>
      </c>
      <c r="G101" s="45">
        <f>G98+G91+G82+G76+G96</f>
        <v>1627.7345</v>
      </c>
    </row>
    <row r="103" spans="1:7" s="6" customFormat="1" x14ac:dyDescent="0.3">
      <c r="A103" s="114" t="s">
        <v>122</v>
      </c>
      <c r="B103" s="74">
        <f>B101+B63+B28</f>
        <v>2136</v>
      </c>
      <c r="C103" s="74"/>
      <c r="D103" s="45">
        <f>D101+D63+D28</f>
        <v>115.05692499999999</v>
      </c>
      <c r="E103" s="45">
        <f>E101+E63+E28</f>
        <v>99.7363</v>
      </c>
      <c r="F103" s="45">
        <f>F101+F63+F28</f>
        <v>392.13799999999998</v>
      </c>
      <c r="G103" s="45">
        <f>G101+G63+G28</f>
        <v>3067.9744000000005</v>
      </c>
    </row>
    <row r="105" spans="1:7" x14ac:dyDescent="0.3">
      <c r="A105" s="10"/>
    </row>
    <row r="106" spans="1:7" s="6" customFormat="1" x14ac:dyDescent="0.3">
      <c r="A106" s="8"/>
      <c r="B106" s="8"/>
      <c r="C106" s="8"/>
      <c r="D106" s="8"/>
      <c r="E106" s="8"/>
      <c r="F106" s="8"/>
      <c r="G106" s="8"/>
    </row>
  </sheetData>
  <mergeCells count="61">
    <mergeCell ref="A1:G1"/>
    <mergeCell ref="A32:G32"/>
    <mergeCell ref="A33:A34"/>
    <mergeCell ref="B33:C33"/>
    <mergeCell ref="D33:D34"/>
    <mergeCell ref="E33:E34"/>
    <mergeCell ref="F33:F34"/>
    <mergeCell ref="A6:C6"/>
    <mergeCell ref="B17:C17"/>
    <mergeCell ref="A7:A8"/>
    <mergeCell ref="B7:C7"/>
    <mergeCell ref="D7:D8"/>
    <mergeCell ref="F7:F8"/>
    <mergeCell ref="E7:E8"/>
    <mergeCell ref="B28:C28"/>
    <mergeCell ref="A19:G19"/>
    <mergeCell ref="E68:E69"/>
    <mergeCell ref="F68:F69"/>
    <mergeCell ref="B45:C45"/>
    <mergeCell ref="B48:C48"/>
    <mergeCell ref="D48:D49"/>
    <mergeCell ref="A47:G47"/>
    <mergeCell ref="A48:A49"/>
    <mergeCell ref="E48:E49"/>
    <mergeCell ref="F48:F49"/>
    <mergeCell ref="A67:G67"/>
    <mergeCell ref="A68:A69"/>
    <mergeCell ref="B68:C68"/>
    <mergeCell ref="D68:D69"/>
    <mergeCell ref="B100:C100"/>
    <mergeCell ref="B103:C103"/>
    <mergeCell ref="B76:C76"/>
    <mergeCell ref="B82:C82"/>
    <mergeCell ref="B94:C94"/>
    <mergeCell ref="B91:C91"/>
    <mergeCell ref="B85:C85"/>
    <mergeCell ref="B79:C79"/>
    <mergeCell ref="A78:C78"/>
    <mergeCell ref="B101:C101"/>
    <mergeCell ref="A94:A95"/>
    <mergeCell ref="F20:F21"/>
    <mergeCell ref="D94:D95"/>
    <mergeCell ref="E94:E95"/>
    <mergeCell ref="F94:F95"/>
    <mergeCell ref="A2:G2"/>
    <mergeCell ref="A79:A80"/>
    <mergeCell ref="D79:D80"/>
    <mergeCell ref="E79:E80"/>
    <mergeCell ref="F79:F80"/>
    <mergeCell ref="A85:A86"/>
    <mergeCell ref="D85:D86"/>
    <mergeCell ref="E85:E86"/>
    <mergeCell ref="F85:F86"/>
    <mergeCell ref="A3:G3"/>
    <mergeCell ref="B63:C63"/>
    <mergeCell ref="B58:C58"/>
    <mergeCell ref="B25:C25"/>
    <mergeCell ref="A20:A21"/>
    <mergeCell ref="B20:C20"/>
    <mergeCell ref="D20:D21"/>
    <mergeCell ref="E20:E21"/>
  </mergeCells>
  <pageMargins left="0.7" right="0.7" top="0.75" bottom="0.75" header="0.3" footer="0.3"/>
  <pageSetup scale="41" orientation="portrait" r:id="rId1"/>
  <rowBreaks count="1" manualBreakCount="1">
    <brk id="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5"/>
  <sheetViews>
    <sheetView view="pageBreakPreview" zoomScale="112" zoomScaleNormal="100" zoomScaleSheetLayoutView="112" workbookViewId="0">
      <selection activeCell="A26" sqref="A26"/>
    </sheetView>
  </sheetViews>
  <sheetFormatPr defaultRowHeight="15" x14ac:dyDescent="0.3"/>
  <cols>
    <col min="1" max="7" width="16.7109375" style="8" customWidth="1"/>
    <col min="8" max="256" width="9.140625" style="1"/>
    <col min="257" max="257" width="34.85546875" style="1" bestFit="1" customWidth="1"/>
    <col min="258" max="258" width="12" style="1" customWidth="1"/>
    <col min="259" max="259" width="12.5703125" style="1" customWidth="1"/>
    <col min="260" max="260" width="12.28515625" style="1" customWidth="1"/>
    <col min="261" max="261" width="11.28515625" style="1" customWidth="1"/>
    <col min="262" max="262" width="16.140625" style="1" customWidth="1"/>
    <col min="263" max="263" width="20.42578125" style="1" customWidth="1"/>
    <col min="264" max="512" width="9.140625" style="1"/>
    <col min="513" max="513" width="34.85546875" style="1" bestFit="1" customWidth="1"/>
    <col min="514" max="514" width="12" style="1" customWidth="1"/>
    <col min="515" max="515" width="12.5703125" style="1" customWidth="1"/>
    <col min="516" max="516" width="12.28515625" style="1" customWidth="1"/>
    <col min="517" max="517" width="11.28515625" style="1" customWidth="1"/>
    <col min="518" max="518" width="16.140625" style="1" customWidth="1"/>
    <col min="519" max="519" width="20.42578125" style="1" customWidth="1"/>
    <col min="520" max="768" width="9.140625" style="1"/>
    <col min="769" max="769" width="34.85546875" style="1" bestFit="1" customWidth="1"/>
    <col min="770" max="770" width="12" style="1" customWidth="1"/>
    <col min="771" max="771" width="12.5703125" style="1" customWidth="1"/>
    <col min="772" max="772" width="12.28515625" style="1" customWidth="1"/>
    <col min="773" max="773" width="11.28515625" style="1" customWidth="1"/>
    <col min="774" max="774" width="16.140625" style="1" customWidth="1"/>
    <col min="775" max="775" width="20.42578125" style="1" customWidth="1"/>
    <col min="776" max="1024" width="9.140625" style="1"/>
    <col min="1025" max="1025" width="34.85546875" style="1" bestFit="1" customWidth="1"/>
    <col min="1026" max="1026" width="12" style="1" customWidth="1"/>
    <col min="1027" max="1027" width="12.5703125" style="1" customWidth="1"/>
    <col min="1028" max="1028" width="12.28515625" style="1" customWidth="1"/>
    <col min="1029" max="1029" width="11.28515625" style="1" customWidth="1"/>
    <col min="1030" max="1030" width="16.140625" style="1" customWidth="1"/>
    <col min="1031" max="1031" width="20.42578125" style="1" customWidth="1"/>
    <col min="1032" max="1280" width="9.140625" style="1"/>
    <col min="1281" max="1281" width="34.85546875" style="1" bestFit="1" customWidth="1"/>
    <col min="1282" max="1282" width="12" style="1" customWidth="1"/>
    <col min="1283" max="1283" width="12.5703125" style="1" customWidth="1"/>
    <col min="1284" max="1284" width="12.28515625" style="1" customWidth="1"/>
    <col min="1285" max="1285" width="11.28515625" style="1" customWidth="1"/>
    <col min="1286" max="1286" width="16.140625" style="1" customWidth="1"/>
    <col min="1287" max="1287" width="20.42578125" style="1" customWidth="1"/>
    <col min="1288" max="1536" width="9.140625" style="1"/>
    <col min="1537" max="1537" width="34.85546875" style="1" bestFit="1" customWidth="1"/>
    <col min="1538" max="1538" width="12" style="1" customWidth="1"/>
    <col min="1539" max="1539" width="12.5703125" style="1" customWidth="1"/>
    <col min="1540" max="1540" width="12.28515625" style="1" customWidth="1"/>
    <col min="1541" max="1541" width="11.28515625" style="1" customWidth="1"/>
    <col min="1542" max="1542" width="16.140625" style="1" customWidth="1"/>
    <col min="1543" max="1543" width="20.42578125" style="1" customWidth="1"/>
    <col min="1544" max="1792" width="9.140625" style="1"/>
    <col min="1793" max="1793" width="34.85546875" style="1" bestFit="1" customWidth="1"/>
    <col min="1794" max="1794" width="12" style="1" customWidth="1"/>
    <col min="1795" max="1795" width="12.5703125" style="1" customWidth="1"/>
    <col min="1796" max="1796" width="12.28515625" style="1" customWidth="1"/>
    <col min="1797" max="1797" width="11.28515625" style="1" customWidth="1"/>
    <col min="1798" max="1798" width="16.140625" style="1" customWidth="1"/>
    <col min="1799" max="1799" width="20.42578125" style="1" customWidth="1"/>
    <col min="1800" max="2048" width="9.140625" style="1"/>
    <col min="2049" max="2049" width="34.85546875" style="1" bestFit="1" customWidth="1"/>
    <col min="2050" max="2050" width="12" style="1" customWidth="1"/>
    <col min="2051" max="2051" width="12.5703125" style="1" customWidth="1"/>
    <col min="2052" max="2052" width="12.28515625" style="1" customWidth="1"/>
    <col min="2053" max="2053" width="11.28515625" style="1" customWidth="1"/>
    <col min="2054" max="2054" width="16.140625" style="1" customWidth="1"/>
    <col min="2055" max="2055" width="20.42578125" style="1" customWidth="1"/>
    <col min="2056" max="2304" width="9.140625" style="1"/>
    <col min="2305" max="2305" width="34.85546875" style="1" bestFit="1" customWidth="1"/>
    <col min="2306" max="2306" width="12" style="1" customWidth="1"/>
    <col min="2307" max="2307" width="12.5703125" style="1" customWidth="1"/>
    <col min="2308" max="2308" width="12.28515625" style="1" customWidth="1"/>
    <col min="2309" max="2309" width="11.28515625" style="1" customWidth="1"/>
    <col min="2310" max="2310" width="16.140625" style="1" customWidth="1"/>
    <col min="2311" max="2311" width="20.42578125" style="1" customWidth="1"/>
    <col min="2312" max="2560" width="9.140625" style="1"/>
    <col min="2561" max="2561" width="34.85546875" style="1" bestFit="1" customWidth="1"/>
    <col min="2562" max="2562" width="12" style="1" customWidth="1"/>
    <col min="2563" max="2563" width="12.5703125" style="1" customWidth="1"/>
    <col min="2564" max="2564" width="12.28515625" style="1" customWidth="1"/>
    <col min="2565" max="2565" width="11.28515625" style="1" customWidth="1"/>
    <col min="2566" max="2566" width="16.140625" style="1" customWidth="1"/>
    <col min="2567" max="2567" width="20.42578125" style="1" customWidth="1"/>
    <col min="2568" max="2816" width="9.140625" style="1"/>
    <col min="2817" max="2817" width="34.85546875" style="1" bestFit="1" customWidth="1"/>
    <col min="2818" max="2818" width="12" style="1" customWidth="1"/>
    <col min="2819" max="2819" width="12.5703125" style="1" customWidth="1"/>
    <col min="2820" max="2820" width="12.28515625" style="1" customWidth="1"/>
    <col min="2821" max="2821" width="11.28515625" style="1" customWidth="1"/>
    <col min="2822" max="2822" width="16.140625" style="1" customWidth="1"/>
    <col min="2823" max="2823" width="20.42578125" style="1" customWidth="1"/>
    <col min="2824" max="3072" width="9.140625" style="1"/>
    <col min="3073" max="3073" width="34.85546875" style="1" bestFit="1" customWidth="1"/>
    <col min="3074" max="3074" width="12" style="1" customWidth="1"/>
    <col min="3075" max="3075" width="12.5703125" style="1" customWidth="1"/>
    <col min="3076" max="3076" width="12.28515625" style="1" customWidth="1"/>
    <col min="3077" max="3077" width="11.28515625" style="1" customWidth="1"/>
    <col min="3078" max="3078" width="16.140625" style="1" customWidth="1"/>
    <col min="3079" max="3079" width="20.42578125" style="1" customWidth="1"/>
    <col min="3080" max="3328" width="9.140625" style="1"/>
    <col min="3329" max="3329" width="34.85546875" style="1" bestFit="1" customWidth="1"/>
    <col min="3330" max="3330" width="12" style="1" customWidth="1"/>
    <col min="3331" max="3331" width="12.5703125" style="1" customWidth="1"/>
    <col min="3332" max="3332" width="12.28515625" style="1" customWidth="1"/>
    <col min="3333" max="3333" width="11.28515625" style="1" customWidth="1"/>
    <col min="3334" max="3334" width="16.140625" style="1" customWidth="1"/>
    <col min="3335" max="3335" width="20.42578125" style="1" customWidth="1"/>
    <col min="3336" max="3584" width="9.140625" style="1"/>
    <col min="3585" max="3585" width="34.85546875" style="1" bestFit="1" customWidth="1"/>
    <col min="3586" max="3586" width="12" style="1" customWidth="1"/>
    <col min="3587" max="3587" width="12.5703125" style="1" customWidth="1"/>
    <col min="3588" max="3588" width="12.28515625" style="1" customWidth="1"/>
    <col min="3589" max="3589" width="11.28515625" style="1" customWidth="1"/>
    <col min="3590" max="3590" width="16.140625" style="1" customWidth="1"/>
    <col min="3591" max="3591" width="20.42578125" style="1" customWidth="1"/>
    <col min="3592" max="3840" width="9.140625" style="1"/>
    <col min="3841" max="3841" width="34.85546875" style="1" bestFit="1" customWidth="1"/>
    <col min="3842" max="3842" width="12" style="1" customWidth="1"/>
    <col min="3843" max="3843" width="12.5703125" style="1" customWidth="1"/>
    <col min="3844" max="3844" width="12.28515625" style="1" customWidth="1"/>
    <col min="3845" max="3845" width="11.28515625" style="1" customWidth="1"/>
    <col min="3846" max="3846" width="16.140625" style="1" customWidth="1"/>
    <col min="3847" max="3847" width="20.42578125" style="1" customWidth="1"/>
    <col min="3848" max="4096" width="9.140625" style="1"/>
    <col min="4097" max="4097" width="34.85546875" style="1" bestFit="1" customWidth="1"/>
    <col min="4098" max="4098" width="12" style="1" customWidth="1"/>
    <col min="4099" max="4099" width="12.5703125" style="1" customWidth="1"/>
    <col min="4100" max="4100" width="12.28515625" style="1" customWidth="1"/>
    <col min="4101" max="4101" width="11.28515625" style="1" customWidth="1"/>
    <col min="4102" max="4102" width="16.140625" style="1" customWidth="1"/>
    <col min="4103" max="4103" width="20.42578125" style="1" customWidth="1"/>
    <col min="4104" max="4352" width="9.140625" style="1"/>
    <col min="4353" max="4353" width="34.85546875" style="1" bestFit="1" customWidth="1"/>
    <col min="4354" max="4354" width="12" style="1" customWidth="1"/>
    <col min="4355" max="4355" width="12.5703125" style="1" customWidth="1"/>
    <col min="4356" max="4356" width="12.28515625" style="1" customWidth="1"/>
    <col min="4357" max="4357" width="11.28515625" style="1" customWidth="1"/>
    <col min="4358" max="4358" width="16.140625" style="1" customWidth="1"/>
    <col min="4359" max="4359" width="20.42578125" style="1" customWidth="1"/>
    <col min="4360" max="4608" width="9.140625" style="1"/>
    <col min="4609" max="4609" width="34.85546875" style="1" bestFit="1" customWidth="1"/>
    <col min="4610" max="4610" width="12" style="1" customWidth="1"/>
    <col min="4611" max="4611" width="12.5703125" style="1" customWidth="1"/>
    <col min="4612" max="4612" width="12.28515625" style="1" customWidth="1"/>
    <col min="4613" max="4613" width="11.28515625" style="1" customWidth="1"/>
    <col min="4614" max="4614" width="16.140625" style="1" customWidth="1"/>
    <col min="4615" max="4615" width="20.42578125" style="1" customWidth="1"/>
    <col min="4616" max="4864" width="9.140625" style="1"/>
    <col min="4865" max="4865" width="34.85546875" style="1" bestFit="1" customWidth="1"/>
    <col min="4866" max="4866" width="12" style="1" customWidth="1"/>
    <col min="4867" max="4867" width="12.5703125" style="1" customWidth="1"/>
    <col min="4868" max="4868" width="12.28515625" style="1" customWidth="1"/>
    <col min="4869" max="4869" width="11.28515625" style="1" customWidth="1"/>
    <col min="4870" max="4870" width="16.140625" style="1" customWidth="1"/>
    <col min="4871" max="4871" width="20.42578125" style="1" customWidth="1"/>
    <col min="4872" max="5120" width="9.140625" style="1"/>
    <col min="5121" max="5121" width="34.85546875" style="1" bestFit="1" customWidth="1"/>
    <col min="5122" max="5122" width="12" style="1" customWidth="1"/>
    <col min="5123" max="5123" width="12.5703125" style="1" customWidth="1"/>
    <col min="5124" max="5124" width="12.28515625" style="1" customWidth="1"/>
    <col min="5125" max="5125" width="11.28515625" style="1" customWidth="1"/>
    <col min="5126" max="5126" width="16.140625" style="1" customWidth="1"/>
    <col min="5127" max="5127" width="20.42578125" style="1" customWidth="1"/>
    <col min="5128" max="5376" width="9.140625" style="1"/>
    <col min="5377" max="5377" width="34.85546875" style="1" bestFit="1" customWidth="1"/>
    <col min="5378" max="5378" width="12" style="1" customWidth="1"/>
    <col min="5379" max="5379" width="12.5703125" style="1" customWidth="1"/>
    <col min="5380" max="5380" width="12.28515625" style="1" customWidth="1"/>
    <col min="5381" max="5381" width="11.28515625" style="1" customWidth="1"/>
    <col min="5382" max="5382" width="16.140625" style="1" customWidth="1"/>
    <col min="5383" max="5383" width="20.42578125" style="1" customWidth="1"/>
    <col min="5384" max="5632" width="9.140625" style="1"/>
    <col min="5633" max="5633" width="34.85546875" style="1" bestFit="1" customWidth="1"/>
    <col min="5634" max="5634" width="12" style="1" customWidth="1"/>
    <col min="5635" max="5635" width="12.5703125" style="1" customWidth="1"/>
    <col min="5636" max="5636" width="12.28515625" style="1" customWidth="1"/>
    <col min="5637" max="5637" width="11.28515625" style="1" customWidth="1"/>
    <col min="5638" max="5638" width="16.140625" style="1" customWidth="1"/>
    <col min="5639" max="5639" width="20.42578125" style="1" customWidth="1"/>
    <col min="5640" max="5888" width="9.140625" style="1"/>
    <col min="5889" max="5889" width="34.85546875" style="1" bestFit="1" customWidth="1"/>
    <col min="5890" max="5890" width="12" style="1" customWidth="1"/>
    <col min="5891" max="5891" width="12.5703125" style="1" customWidth="1"/>
    <col min="5892" max="5892" width="12.28515625" style="1" customWidth="1"/>
    <col min="5893" max="5893" width="11.28515625" style="1" customWidth="1"/>
    <col min="5894" max="5894" width="16.140625" style="1" customWidth="1"/>
    <col min="5895" max="5895" width="20.42578125" style="1" customWidth="1"/>
    <col min="5896" max="6144" width="9.140625" style="1"/>
    <col min="6145" max="6145" width="34.85546875" style="1" bestFit="1" customWidth="1"/>
    <col min="6146" max="6146" width="12" style="1" customWidth="1"/>
    <col min="6147" max="6147" width="12.5703125" style="1" customWidth="1"/>
    <col min="6148" max="6148" width="12.28515625" style="1" customWidth="1"/>
    <col min="6149" max="6149" width="11.28515625" style="1" customWidth="1"/>
    <col min="6150" max="6150" width="16.140625" style="1" customWidth="1"/>
    <col min="6151" max="6151" width="20.42578125" style="1" customWidth="1"/>
    <col min="6152" max="6400" width="9.140625" style="1"/>
    <col min="6401" max="6401" width="34.85546875" style="1" bestFit="1" customWidth="1"/>
    <col min="6402" max="6402" width="12" style="1" customWidth="1"/>
    <col min="6403" max="6403" width="12.5703125" style="1" customWidth="1"/>
    <col min="6404" max="6404" width="12.28515625" style="1" customWidth="1"/>
    <col min="6405" max="6405" width="11.28515625" style="1" customWidth="1"/>
    <col min="6406" max="6406" width="16.140625" style="1" customWidth="1"/>
    <col min="6407" max="6407" width="20.42578125" style="1" customWidth="1"/>
    <col min="6408" max="6656" width="9.140625" style="1"/>
    <col min="6657" max="6657" width="34.85546875" style="1" bestFit="1" customWidth="1"/>
    <col min="6658" max="6658" width="12" style="1" customWidth="1"/>
    <col min="6659" max="6659" width="12.5703125" style="1" customWidth="1"/>
    <col min="6660" max="6660" width="12.28515625" style="1" customWidth="1"/>
    <col min="6661" max="6661" width="11.28515625" style="1" customWidth="1"/>
    <col min="6662" max="6662" width="16.140625" style="1" customWidth="1"/>
    <col min="6663" max="6663" width="20.42578125" style="1" customWidth="1"/>
    <col min="6664" max="6912" width="9.140625" style="1"/>
    <col min="6913" max="6913" width="34.85546875" style="1" bestFit="1" customWidth="1"/>
    <col min="6914" max="6914" width="12" style="1" customWidth="1"/>
    <col min="6915" max="6915" width="12.5703125" style="1" customWidth="1"/>
    <col min="6916" max="6916" width="12.28515625" style="1" customWidth="1"/>
    <col min="6917" max="6917" width="11.28515625" style="1" customWidth="1"/>
    <col min="6918" max="6918" width="16.140625" style="1" customWidth="1"/>
    <col min="6919" max="6919" width="20.42578125" style="1" customWidth="1"/>
    <col min="6920" max="7168" width="9.140625" style="1"/>
    <col min="7169" max="7169" width="34.85546875" style="1" bestFit="1" customWidth="1"/>
    <col min="7170" max="7170" width="12" style="1" customWidth="1"/>
    <col min="7171" max="7171" width="12.5703125" style="1" customWidth="1"/>
    <col min="7172" max="7172" width="12.28515625" style="1" customWidth="1"/>
    <col min="7173" max="7173" width="11.28515625" style="1" customWidth="1"/>
    <col min="7174" max="7174" width="16.140625" style="1" customWidth="1"/>
    <col min="7175" max="7175" width="20.42578125" style="1" customWidth="1"/>
    <col min="7176" max="7424" width="9.140625" style="1"/>
    <col min="7425" max="7425" width="34.85546875" style="1" bestFit="1" customWidth="1"/>
    <col min="7426" max="7426" width="12" style="1" customWidth="1"/>
    <col min="7427" max="7427" width="12.5703125" style="1" customWidth="1"/>
    <col min="7428" max="7428" width="12.28515625" style="1" customWidth="1"/>
    <col min="7429" max="7429" width="11.28515625" style="1" customWidth="1"/>
    <col min="7430" max="7430" width="16.140625" style="1" customWidth="1"/>
    <col min="7431" max="7431" width="20.42578125" style="1" customWidth="1"/>
    <col min="7432" max="7680" width="9.140625" style="1"/>
    <col min="7681" max="7681" width="34.85546875" style="1" bestFit="1" customWidth="1"/>
    <col min="7682" max="7682" width="12" style="1" customWidth="1"/>
    <col min="7683" max="7683" width="12.5703125" style="1" customWidth="1"/>
    <col min="7684" max="7684" width="12.28515625" style="1" customWidth="1"/>
    <col min="7685" max="7685" width="11.28515625" style="1" customWidth="1"/>
    <col min="7686" max="7686" width="16.140625" style="1" customWidth="1"/>
    <col min="7687" max="7687" width="20.42578125" style="1" customWidth="1"/>
    <col min="7688" max="7936" width="9.140625" style="1"/>
    <col min="7937" max="7937" width="34.85546875" style="1" bestFit="1" customWidth="1"/>
    <col min="7938" max="7938" width="12" style="1" customWidth="1"/>
    <col min="7939" max="7939" width="12.5703125" style="1" customWidth="1"/>
    <col min="7940" max="7940" width="12.28515625" style="1" customWidth="1"/>
    <col min="7941" max="7941" width="11.28515625" style="1" customWidth="1"/>
    <col min="7942" max="7942" width="16.140625" style="1" customWidth="1"/>
    <col min="7943" max="7943" width="20.42578125" style="1" customWidth="1"/>
    <col min="7944" max="8192" width="9.140625" style="1"/>
    <col min="8193" max="8193" width="34.85546875" style="1" bestFit="1" customWidth="1"/>
    <col min="8194" max="8194" width="12" style="1" customWidth="1"/>
    <col min="8195" max="8195" width="12.5703125" style="1" customWidth="1"/>
    <col min="8196" max="8196" width="12.28515625" style="1" customWidth="1"/>
    <col min="8197" max="8197" width="11.28515625" style="1" customWidth="1"/>
    <col min="8198" max="8198" width="16.140625" style="1" customWidth="1"/>
    <col min="8199" max="8199" width="20.42578125" style="1" customWidth="1"/>
    <col min="8200" max="8448" width="9.140625" style="1"/>
    <col min="8449" max="8449" width="34.85546875" style="1" bestFit="1" customWidth="1"/>
    <col min="8450" max="8450" width="12" style="1" customWidth="1"/>
    <col min="8451" max="8451" width="12.5703125" style="1" customWidth="1"/>
    <col min="8452" max="8452" width="12.28515625" style="1" customWidth="1"/>
    <col min="8453" max="8453" width="11.28515625" style="1" customWidth="1"/>
    <col min="8454" max="8454" width="16.140625" style="1" customWidth="1"/>
    <col min="8455" max="8455" width="20.42578125" style="1" customWidth="1"/>
    <col min="8456" max="8704" width="9.140625" style="1"/>
    <col min="8705" max="8705" width="34.85546875" style="1" bestFit="1" customWidth="1"/>
    <col min="8706" max="8706" width="12" style="1" customWidth="1"/>
    <col min="8707" max="8707" width="12.5703125" style="1" customWidth="1"/>
    <col min="8708" max="8708" width="12.28515625" style="1" customWidth="1"/>
    <col min="8709" max="8709" width="11.28515625" style="1" customWidth="1"/>
    <col min="8710" max="8710" width="16.140625" style="1" customWidth="1"/>
    <col min="8711" max="8711" width="20.42578125" style="1" customWidth="1"/>
    <col min="8712" max="8960" width="9.140625" style="1"/>
    <col min="8961" max="8961" width="34.85546875" style="1" bestFit="1" customWidth="1"/>
    <col min="8962" max="8962" width="12" style="1" customWidth="1"/>
    <col min="8963" max="8963" width="12.5703125" style="1" customWidth="1"/>
    <col min="8964" max="8964" width="12.28515625" style="1" customWidth="1"/>
    <col min="8965" max="8965" width="11.28515625" style="1" customWidth="1"/>
    <col min="8966" max="8966" width="16.140625" style="1" customWidth="1"/>
    <col min="8967" max="8967" width="20.42578125" style="1" customWidth="1"/>
    <col min="8968" max="9216" width="9.140625" style="1"/>
    <col min="9217" max="9217" width="34.85546875" style="1" bestFit="1" customWidth="1"/>
    <col min="9218" max="9218" width="12" style="1" customWidth="1"/>
    <col min="9219" max="9219" width="12.5703125" style="1" customWidth="1"/>
    <col min="9220" max="9220" width="12.28515625" style="1" customWidth="1"/>
    <col min="9221" max="9221" width="11.28515625" style="1" customWidth="1"/>
    <col min="9222" max="9222" width="16.140625" style="1" customWidth="1"/>
    <col min="9223" max="9223" width="20.42578125" style="1" customWidth="1"/>
    <col min="9224" max="9472" width="9.140625" style="1"/>
    <col min="9473" max="9473" width="34.85546875" style="1" bestFit="1" customWidth="1"/>
    <col min="9474" max="9474" width="12" style="1" customWidth="1"/>
    <col min="9475" max="9475" width="12.5703125" style="1" customWidth="1"/>
    <col min="9476" max="9476" width="12.28515625" style="1" customWidth="1"/>
    <col min="9477" max="9477" width="11.28515625" style="1" customWidth="1"/>
    <col min="9478" max="9478" width="16.140625" style="1" customWidth="1"/>
    <col min="9479" max="9479" width="20.42578125" style="1" customWidth="1"/>
    <col min="9480" max="9728" width="9.140625" style="1"/>
    <col min="9729" max="9729" width="34.85546875" style="1" bestFit="1" customWidth="1"/>
    <col min="9730" max="9730" width="12" style="1" customWidth="1"/>
    <col min="9731" max="9731" width="12.5703125" style="1" customWidth="1"/>
    <col min="9732" max="9732" width="12.28515625" style="1" customWidth="1"/>
    <col min="9733" max="9733" width="11.28515625" style="1" customWidth="1"/>
    <col min="9734" max="9734" width="16.140625" style="1" customWidth="1"/>
    <col min="9735" max="9735" width="20.42578125" style="1" customWidth="1"/>
    <col min="9736" max="9984" width="9.140625" style="1"/>
    <col min="9985" max="9985" width="34.85546875" style="1" bestFit="1" customWidth="1"/>
    <col min="9986" max="9986" width="12" style="1" customWidth="1"/>
    <col min="9987" max="9987" width="12.5703125" style="1" customWidth="1"/>
    <col min="9988" max="9988" width="12.28515625" style="1" customWidth="1"/>
    <col min="9989" max="9989" width="11.28515625" style="1" customWidth="1"/>
    <col min="9990" max="9990" width="16.140625" style="1" customWidth="1"/>
    <col min="9991" max="9991" width="20.42578125" style="1" customWidth="1"/>
    <col min="9992" max="10240" width="9.140625" style="1"/>
    <col min="10241" max="10241" width="34.85546875" style="1" bestFit="1" customWidth="1"/>
    <col min="10242" max="10242" width="12" style="1" customWidth="1"/>
    <col min="10243" max="10243" width="12.5703125" style="1" customWidth="1"/>
    <col min="10244" max="10244" width="12.28515625" style="1" customWidth="1"/>
    <col min="10245" max="10245" width="11.28515625" style="1" customWidth="1"/>
    <col min="10246" max="10246" width="16.140625" style="1" customWidth="1"/>
    <col min="10247" max="10247" width="20.42578125" style="1" customWidth="1"/>
    <col min="10248" max="10496" width="9.140625" style="1"/>
    <col min="10497" max="10497" width="34.85546875" style="1" bestFit="1" customWidth="1"/>
    <col min="10498" max="10498" width="12" style="1" customWidth="1"/>
    <col min="10499" max="10499" width="12.5703125" style="1" customWidth="1"/>
    <col min="10500" max="10500" width="12.28515625" style="1" customWidth="1"/>
    <col min="10501" max="10501" width="11.28515625" style="1" customWidth="1"/>
    <col min="10502" max="10502" width="16.140625" style="1" customWidth="1"/>
    <col min="10503" max="10503" width="20.42578125" style="1" customWidth="1"/>
    <col min="10504" max="10752" width="9.140625" style="1"/>
    <col min="10753" max="10753" width="34.85546875" style="1" bestFit="1" customWidth="1"/>
    <col min="10754" max="10754" width="12" style="1" customWidth="1"/>
    <col min="10755" max="10755" width="12.5703125" style="1" customWidth="1"/>
    <col min="10756" max="10756" width="12.28515625" style="1" customWidth="1"/>
    <col min="10757" max="10757" width="11.28515625" style="1" customWidth="1"/>
    <col min="10758" max="10758" width="16.140625" style="1" customWidth="1"/>
    <col min="10759" max="10759" width="20.42578125" style="1" customWidth="1"/>
    <col min="10760" max="11008" width="9.140625" style="1"/>
    <col min="11009" max="11009" width="34.85546875" style="1" bestFit="1" customWidth="1"/>
    <col min="11010" max="11010" width="12" style="1" customWidth="1"/>
    <col min="11011" max="11011" width="12.5703125" style="1" customWidth="1"/>
    <col min="11012" max="11012" width="12.28515625" style="1" customWidth="1"/>
    <col min="11013" max="11013" width="11.28515625" style="1" customWidth="1"/>
    <col min="11014" max="11014" width="16.140625" style="1" customWidth="1"/>
    <col min="11015" max="11015" width="20.42578125" style="1" customWidth="1"/>
    <col min="11016" max="11264" width="9.140625" style="1"/>
    <col min="11265" max="11265" width="34.85546875" style="1" bestFit="1" customWidth="1"/>
    <col min="11266" max="11266" width="12" style="1" customWidth="1"/>
    <col min="11267" max="11267" width="12.5703125" style="1" customWidth="1"/>
    <col min="11268" max="11268" width="12.28515625" style="1" customWidth="1"/>
    <col min="11269" max="11269" width="11.28515625" style="1" customWidth="1"/>
    <col min="11270" max="11270" width="16.140625" style="1" customWidth="1"/>
    <col min="11271" max="11271" width="20.42578125" style="1" customWidth="1"/>
    <col min="11272" max="11520" width="9.140625" style="1"/>
    <col min="11521" max="11521" width="34.85546875" style="1" bestFit="1" customWidth="1"/>
    <col min="11522" max="11522" width="12" style="1" customWidth="1"/>
    <col min="11523" max="11523" width="12.5703125" style="1" customWidth="1"/>
    <col min="11524" max="11524" width="12.28515625" style="1" customWidth="1"/>
    <col min="11525" max="11525" width="11.28515625" style="1" customWidth="1"/>
    <col min="11526" max="11526" width="16.140625" style="1" customWidth="1"/>
    <col min="11527" max="11527" width="20.42578125" style="1" customWidth="1"/>
    <col min="11528" max="11776" width="9.140625" style="1"/>
    <col min="11777" max="11777" width="34.85546875" style="1" bestFit="1" customWidth="1"/>
    <col min="11778" max="11778" width="12" style="1" customWidth="1"/>
    <col min="11779" max="11779" width="12.5703125" style="1" customWidth="1"/>
    <col min="11780" max="11780" width="12.28515625" style="1" customWidth="1"/>
    <col min="11781" max="11781" width="11.28515625" style="1" customWidth="1"/>
    <col min="11782" max="11782" width="16.140625" style="1" customWidth="1"/>
    <col min="11783" max="11783" width="20.42578125" style="1" customWidth="1"/>
    <col min="11784" max="12032" width="9.140625" style="1"/>
    <col min="12033" max="12033" width="34.85546875" style="1" bestFit="1" customWidth="1"/>
    <col min="12034" max="12034" width="12" style="1" customWidth="1"/>
    <col min="12035" max="12035" width="12.5703125" style="1" customWidth="1"/>
    <col min="12036" max="12036" width="12.28515625" style="1" customWidth="1"/>
    <col min="12037" max="12037" width="11.28515625" style="1" customWidth="1"/>
    <col min="12038" max="12038" width="16.140625" style="1" customWidth="1"/>
    <col min="12039" max="12039" width="20.42578125" style="1" customWidth="1"/>
    <col min="12040" max="12288" width="9.140625" style="1"/>
    <col min="12289" max="12289" width="34.85546875" style="1" bestFit="1" customWidth="1"/>
    <col min="12290" max="12290" width="12" style="1" customWidth="1"/>
    <col min="12291" max="12291" width="12.5703125" style="1" customWidth="1"/>
    <col min="12292" max="12292" width="12.28515625" style="1" customWidth="1"/>
    <col min="12293" max="12293" width="11.28515625" style="1" customWidth="1"/>
    <col min="12294" max="12294" width="16.140625" style="1" customWidth="1"/>
    <col min="12295" max="12295" width="20.42578125" style="1" customWidth="1"/>
    <col min="12296" max="12544" width="9.140625" style="1"/>
    <col min="12545" max="12545" width="34.85546875" style="1" bestFit="1" customWidth="1"/>
    <col min="12546" max="12546" width="12" style="1" customWidth="1"/>
    <col min="12547" max="12547" width="12.5703125" style="1" customWidth="1"/>
    <col min="12548" max="12548" width="12.28515625" style="1" customWidth="1"/>
    <col min="12549" max="12549" width="11.28515625" style="1" customWidth="1"/>
    <col min="12550" max="12550" width="16.140625" style="1" customWidth="1"/>
    <col min="12551" max="12551" width="20.42578125" style="1" customWidth="1"/>
    <col min="12552" max="12800" width="9.140625" style="1"/>
    <col min="12801" max="12801" width="34.85546875" style="1" bestFit="1" customWidth="1"/>
    <col min="12802" max="12802" width="12" style="1" customWidth="1"/>
    <col min="12803" max="12803" width="12.5703125" style="1" customWidth="1"/>
    <col min="12804" max="12804" width="12.28515625" style="1" customWidth="1"/>
    <col min="12805" max="12805" width="11.28515625" style="1" customWidth="1"/>
    <col min="12806" max="12806" width="16.140625" style="1" customWidth="1"/>
    <col min="12807" max="12807" width="20.42578125" style="1" customWidth="1"/>
    <col min="12808" max="13056" width="9.140625" style="1"/>
    <col min="13057" max="13057" width="34.85546875" style="1" bestFit="1" customWidth="1"/>
    <col min="13058" max="13058" width="12" style="1" customWidth="1"/>
    <col min="13059" max="13059" width="12.5703125" style="1" customWidth="1"/>
    <col min="13060" max="13060" width="12.28515625" style="1" customWidth="1"/>
    <col min="13061" max="13061" width="11.28515625" style="1" customWidth="1"/>
    <col min="13062" max="13062" width="16.140625" style="1" customWidth="1"/>
    <col min="13063" max="13063" width="20.42578125" style="1" customWidth="1"/>
    <col min="13064" max="13312" width="9.140625" style="1"/>
    <col min="13313" max="13313" width="34.85546875" style="1" bestFit="1" customWidth="1"/>
    <col min="13314" max="13314" width="12" style="1" customWidth="1"/>
    <col min="13315" max="13315" width="12.5703125" style="1" customWidth="1"/>
    <col min="13316" max="13316" width="12.28515625" style="1" customWidth="1"/>
    <col min="13317" max="13317" width="11.28515625" style="1" customWidth="1"/>
    <col min="13318" max="13318" width="16.140625" style="1" customWidth="1"/>
    <col min="13319" max="13319" width="20.42578125" style="1" customWidth="1"/>
    <col min="13320" max="13568" width="9.140625" style="1"/>
    <col min="13569" max="13569" width="34.85546875" style="1" bestFit="1" customWidth="1"/>
    <col min="13570" max="13570" width="12" style="1" customWidth="1"/>
    <col min="13571" max="13571" width="12.5703125" style="1" customWidth="1"/>
    <col min="13572" max="13572" width="12.28515625" style="1" customWidth="1"/>
    <col min="13573" max="13573" width="11.28515625" style="1" customWidth="1"/>
    <col min="13574" max="13574" width="16.140625" style="1" customWidth="1"/>
    <col min="13575" max="13575" width="20.42578125" style="1" customWidth="1"/>
    <col min="13576" max="13824" width="9.140625" style="1"/>
    <col min="13825" max="13825" width="34.85546875" style="1" bestFit="1" customWidth="1"/>
    <col min="13826" max="13826" width="12" style="1" customWidth="1"/>
    <col min="13827" max="13827" width="12.5703125" style="1" customWidth="1"/>
    <col min="13828" max="13828" width="12.28515625" style="1" customWidth="1"/>
    <col min="13829" max="13829" width="11.28515625" style="1" customWidth="1"/>
    <col min="13830" max="13830" width="16.140625" style="1" customWidth="1"/>
    <col min="13831" max="13831" width="20.42578125" style="1" customWidth="1"/>
    <col min="13832" max="14080" width="9.140625" style="1"/>
    <col min="14081" max="14081" width="34.85546875" style="1" bestFit="1" customWidth="1"/>
    <col min="14082" max="14082" width="12" style="1" customWidth="1"/>
    <col min="14083" max="14083" width="12.5703125" style="1" customWidth="1"/>
    <col min="14084" max="14084" width="12.28515625" style="1" customWidth="1"/>
    <col min="14085" max="14085" width="11.28515625" style="1" customWidth="1"/>
    <col min="14086" max="14086" width="16.140625" style="1" customWidth="1"/>
    <col min="14087" max="14087" width="20.42578125" style="1" customWidth="1"/>
    <col min="14088" max="14336" width="9.140625" style="1"/>
    <col min="14337" max="14337" width="34.85546875" style="1" bestFit="1" customWidth="1"/>
    <col min="14338" max="14338" width="12" style="1" customWidth="1"/>
    <col min="14339" max="14339" width="12.5703125" style="1" customWidth="1"/>
    <col min="14340" max="14340" width="12.28515625" style="1" customWidth="1"/>
    <col min="14341" max="14341" width="11.28515625" style="1" customWidth="1"/>
    <col min="14342" max="14342" width="16.140625" style="1" customWidth="1"/>
    <col min="14343" max="14343" width="20.42578125" style="1" customWidth="1"/>
    <col min="14344" max="14592" width="9.140625" style="1"/>
    <col min="14593" max="14593" width="34.85546875" style="1" bestFit="1" customWidth="1"/>
    <col min="14594" max="14594" width="12" style="1" customWidth="1"/>
    <col min="14595" max="14595" width="12.5703125" style="1" customWidth="1"/>
    <col min="14596" max="14596" width="12.28515625" style="1" customWidth="1"/>
    <col min="14597" max="14597" width="11.28515625" style="1" customWidth="1"/>
    <col min="14598" max="14598" width="16.140625" style="1" customWidth="1"/>
    <col min="14599" max="14599" width="20.42578125" style="1" customWidth="1"/>
    <col min="14600" max="14848" width="9.140625" style="1"/>
    <col min="14849" max="14849" width="34.85546875" style="1" bestFit="1" customWidth="1"/>
    <col min="14850" max="14850" width="12" style="1" customWidth="1"/>
    <col min="14851" max="14851" width="12.5703125" style="1" customWidth="1"/>
    <col min="14852" max="14852" width="12.28515625" style="1" customWidth="1"/>
    <col min="14853" max="14853" width="11.28515625" style="1" customWidth="1"/>
    <col min="14854" max="14854" width="16.140625" style="1" customWidth="1"/>
    <col min="14855" max="14855" width="20.42578125" style="1" customWidth="1"/>
    <col min="14856" max="15104" width="9.140625" style="1"/>
    <col min="15105" max="15105" width="34.85546875" style="1" bestFit="1" customWidth="1"/>
    <col min="15106" max="15106" width="12" style="1" customWidth="1"/>
    <col min="15107" max="15107" width="12.5703125" style="1" customWidth="1"/>
    <col min="15108" max="15108" width="12.28515625" style="1" customWidth="1"/>
    <col min="15109" max="15109" width="11.28515625" style="1" customWidth="1"/>
    <col min="15110" max="15110" width="16.140625" style="1" customWidth="1"/>
    <col min="15111" max="15111" width="20.42578125" style="1" customWidth="1"/>
    <col min="15112" max="15360" width="9.140625" style="1"/>
    <col min="15361" max="15361" width="34.85546875" style="1" bestFit="1" customWidth="1"/>
    <col min="15362" max="15362" width="12" style="1" customWidth="1"/>
    <col min="15363" max="15363" width="12.5703125" style="1" customWidth="1"/>
    <col min="15364" max="15364" width="12.28515625" style="1" customWidth="1"/>
    <col min="15365" max="15365" width="11.28515625" style="1" customWidth="1"/>
    <col min="15366" max="15366" width="16.140625" style="1" customWidth="1"/>
    <col min="15367" max="15367" width="20.42578125" style="1" customWidth="1"/>
    <col min="15368" max="15616" width="9.140625" style="1"/>
    <col min="15617" max="15617" width="34.85546875" style="1" bestFit="1" customWidth="1"/>
    <col min="15618" max="15618" width="12" style="1" customWidth="1"/>
    <col min="15619" max="15619" width="12.5703125" style="1" customWidth="1"/>
    <col min="15620" max="15620" width="12.28515625" style="1" customWidth="1"/>
    <col min="15621" max="15621" width="11.28515625" style="1" customWidth="1"/>
    <col min="15622" max="15622" width="16.140625" style="1" customWidth="1"/>
    <col min="15623" max="15623" width="20.42578125" style="1" customWidth="1"/>
    <col min="15624" max="15872" width="9.140625" style="1"/>
    <col min="15873" max="15873" width="34.85546875" style="1" bestFit="1" customWidth="1"/>
    <col min="15874" max="15874" width="12" style="1" customWidth="1"/>
    <col min="15875" max="15875" width="12.5703125" style="1" customWidth="1"/>
    <col min="15876" max="15876" width="12.28515625" style="1" customWidth="1"/>
    <col min="15877" max="15877" width="11.28515625" style="1" customWidth="1"/>
    <col min="15878" max="15878" width="16.140625" style="1" customWidth="1"/>
    <col min="15879" max="15879" width="20.42578125" style="1" customWidth="1"/>
    <col min="15880" max="16128" width="9.140625" style="1"/>
    <col min="16129" max="16129" width="34.85546875" style="1" bestFit="1" customWidth="1"/>
    <col min="16130" max="16130" width="12" style="1" customWidth="1"/>
    <col min="16131" max="16131" width="12.5703125" style="1" customWidth="1"/>
    <col min="16132" max="16132" width="12.28515625" style="1" customWidth="1"/>
    <col min="16133" max="16133" width="11.28515625" style="1" customWidth="1"/>
    <col min="16134" max="16134" width="16.140625" style="1" customWidth="1"/>
    <col min="16135" max="16135" width="20.42578125" style="1" customWidth="1"/>
    <col min="16136" max="16384" width="9.140625" style="1"/>
  </cols>
  <sheetData>
    <row r="1" spans="1:7" x14ac:dyDescent="0.3">
      <c r="A1" s="105" t="s">
        <v>123</v>
      </c>
      <c r="B1" s="105"/>
      <c r="C1" s="105"/>
      <c r="D1" s="105"/>
      <c r="E1" s="105"/>
      <c r="F1" s="105"/>
      <c r="G1" s="105"/>
    </row>
    <row r="2" spans="1:7" ht="79.5" customHeight="1" x14ac:dyDescent="0.3">
      <c r="A2" s="104" t="s">
        <v>127</v>
      </c>
      <c r="B2" s="104"/>
      <c r="C2" s="104"/>
      <c r="D2" s="104"/>
      <c r="E2" s="104"/>
      <c r="F2" s="104"/>
      <c r="G2" s="104"/>
    </row>
    <row r="3" spans="1:7" x14ac:dyDescent="0.3">
      <c r="A3" s="169" t="s">
        <v>58</v>
      </c>
      <c r="B3" s="169"/>
      <c r="C3" s="169"/>
      <c r="D3" s="169"/>
      <c r="E3" s="169"/>
      <c r="F3" s="169"/>
      <c r="G3" s="169"/>
    </row>
    <row r="4" spans="1:7" x14ac:dyDescent="0.3">
      <c r="A4" s="170" t="s">
        <v>119</v>
      </c>
    </row>
    <row r="5" spans="1:7" s="7" customFormat="1" x14ac:dyDescent="0.3">
      <c r="A5" s="171" t="s">
        <v>41</v>
      </c>
      <c r="B5" s="171"/>
      <c r="C5" s="171"/>
      <c r="D5" s="171"/>
      <c r="E5" s="171"/>
      <c r="F5" s="171"/>
      <c r="G5" s="171"/>
    </row>
    <row r="6" spans="1:7" s="7" customFormat="1" ht="26.25" customHeight="1" x14ac:dyDescent="0.3">
      <c r="A6" s="95" t="s">
        <v>0</v>
      </c>
      <c r="B6" s="95" t="s">
        <v>1</v>
      </c>
      <c r="C6" s="95"/>
      <c r="D6" s="97" t="s">
        <v>2</v>
      </c>
      <c r="E6" s="97" t="s">
        <v>3</v>
      </c>
      <c r="F6" s="95" t="s">
        <v>36</v>
      </c>
      <c r="G6" s="49" t="s">
        <v>5</v>
      </c>
    </row>
    <row r="7" spans="1:7" x14ac:dyDescent="0.3">
      <c r="A7" s="95"/>
      <c r="B7" s="49" t="s">
        <v>6</v>
      </c>
      <c r="C7" s="49" t="s">
        <v>7</v>
      </c>
      <c r="D7" s="98"/>
      <c r="E7" s="98"/>
      <c r="F7" s="95"/>
      <c r="G7" s="49" t="s">
        <v>8</v>
      </c>
    </row>
    <row r="8" spans="1:7" x14ac:dyDescent="0.3">
      <c r="A8" s="110" t="s">
        <v>42</v>
      </c>
      <c r="B8" s="144">
        <v>25</v>
      </c>
      <c r="C8" s="144">
        <f>B8*100%</f>
        <v>25</v>
      </c>
      <c r="D8" s="144">
        <f>C8*20.8%</f>
        <v>5.2</v>
      </c>
      <c r="E8" s="144">
        <f>C8*2%</f>
        <v>0.5</v>
      </c>
      <c r="F8" s="144">
        <f>C8*46.6%</f>
        <v>11.65</v>
      </c>
      <c r="G8" s="144">
        <f>4*(D8+F8)+9*E8</f>
        <v>71.900000000000006</v>
      </c>
    </row>
    <row r="9" spans="1:7" ht="30" x14ac:dyDescent="0.3">
      <c r="A9" s="110" t="s">
        <v>43</v>
      </c>
      <c r="B9" s="144">
        <v>40</v>
      </c>
      <c r="C9" s="144">
        <f>B9*100%</f>
        <v>40</v>
      </c>
      <c r="D9" s="144">
        <f>C9*10%</f>
        <v>4</v>
      </c>
      <c r="E9" s="144">
        <f>C9*1.3%</f>
        <v>0.52</v>
      </c>
      <c r="F9" s="144">
        <f>C9*69%</f>
        <v>27.599999999999998</v>
      </c>
      <c r="G9" s="144">
        <f>4*(D9+F9)+9*E9</f>
        <v>131.07999999999998</v>
      </c>
    </row>
    <row r="10" spans="1:7" x14ac:dyDescent="0.3">
      <c r="A10" s="50" t="s">
        <v>44</v>
      </c>
      <c r="B10" s="144">
        <v>1</v>
      </c>
      <c r="C10" s="144">
        <f>100%*B10</f>
        <v>1</v>
      </c>
      <c r="D10" s="144"/>
      <c r="E10" s="144"/>
      <c r="F10" s="144"/>
      <c r="G10" s="144"/>
    </row>
    <row r="11" spans="1:7" x14ac:dyDescent="0.3">
      <c r="A11" s="110" t="s">
        <v>26</v>
      </c>
      <c r="B11" s="144">
        <v>8</v>
      </c>
      <c r="C11" s="144">
        <f>100%*B11</f>
        <v>8</v>
      </c>
      <c r="D11" s="144"/>
      <c r="E11" s="144">
        <f>99.9%*C11</f>
        <v>7.9920000000000009</v>
      </c>
      <c r="F11" s="144"/>
      <c r="G11" s="144">
        <f>4*(D11+F11)+9*E11</f>
        <v>71.928000000000011</v>
      </c>
    </row>
    <row r="12" spans="1:7" x14ac:dyDescent="0.3">
      <c r="A12" s="110" t="s">
        <v>15</v>
      </c>
      <c r="B12" s="144">
        <v>12</v>
      </c>
      <c r="C12" s="144">
        <f>90%*B12</f>
        <v>10.8</v>
      </c>
      <c r="D12" s="144">
        <f>1.58%*C12</f>
        <v>0.17064000000000004</v>
      </c>
      <c r="E12" s="144"/>
      <c r="F12" s="144">
        <f>9.5%*C12</f>
        <v>1.026</v>
      </c>
      <c r="G12" s="144">
        <f>4*(D12+F12)+9*E12</f>
        <v>4.7865600000000006</v>
      </c>
    </row>
    <row r="13" spans="1:7" x14ac:dyDescent="0.3">
      <c r="A13" s="110" t="s">
        <v>45</v>
      </c>
      <c r="B13" s="144">
        <v>0.5</v>
      </c>
      <c r="C13" s="144">
        <v>0.5</v>
      </c>
      <c r="D13" s="144"/>
      <c r="E13" s="144"/>
      <c r="F13" s="144"/>
      <c r="G13" s="144"/>
    </row>
    <row r="14" spans="1:7" x14ac:dyDescent="0.3">
      <c r="A14" s="50" t="s">
        <v>11</v>
      </c>
      <c r="B14" s="144">
        <v>1</v>
      </c>
      <c r="C14" s="144">
        <v>1</v>
      </c>
      <c r="D14" s="144"/>
      <c r="E14" s="144"/>
      <c r="F14" s="144"/>
      <c r="G14" s="144"/>
    </row>
    <row r="15" spans="1:7" x14ac:dyDescent="0.3">
      <c r="A15" s="49" t="s">
        <v>12</v>
      </c>
      <c r="B15" s="99">
        <v>200</v>
      </c>
      <c r="C15" s="100"/>
      <c r="D15" s="145">
        <f>SUM(D8:D14)</f>
        <v>9.3706399999999999</v>
      </c>
      <c r="E15" s="145">
        <f>SUM(E8:E14)</f>
        <v>9.0120000000000005</v>
      </c>
      <c r="F15" s="145">
        <f>SUM(F8:F14)</f>
        <v>40.276000000000003</v>
      </c>
      <c r="G15" s="145">
        <f>SUM(G8:G14)</f>
        <v>279.69456000000002</v>
      </c>
    </row>
    <row r="16" spans="1:7" x14ac:dyDescent="0.3">
      <c r="A16" s="63"/>
      <c r="B16" s="63"/>
      <c r="C16" s="63"/>
      <c r="D16" s="158"/>
      <c r="E16" s="158"/>
      <c r="F16" s="158"/>
      <c r="G16" s="158"/>
    </row>
    <row r="17" spans="1:7" x14ac:dyDescent="0.3">
      <c r="A17" s="157"/>
      <c r="B17" s="146"/>
      <c r="C17" s="146"/>
      <c r="D17" s="146"/>
      <c r="E17" s="146"/>
      <c r="F17" s="146"/>
      <c r="G17" s="146"/>
    </row>
    <row r="18" spans="1:7" ht="36" customHeight="1" x14ac:dyDescent="0.3">
      <c r="A18" s="95" t="s">
        <v>0</v>
      </c>
      <c r="B18" s="95" t="s">
        <v>1</v>
      </c>
      <c r="C18" s="95"/>
      <c r="D18" s="97" t="s">
        <v>2</v>
      </c>
      <c r="E18" s="97" t="s">
        <v>3</v>
      </c>
      <c r="F18" s="95" t="s">
        <v>4</v>
      </c>
      <c r="G18" s="49" t="s">
        <v>5</v>
      </c>
    </row>
    <row r="19" spans="1:7" x14ac:dyDescent="0.3">
      <c r="A19" s="95"/>
      <c r="B19" s="49" t="s">
        <v>6</v>
      </c>
      <c r="C19" s="49" t="s">
        <v>7</v>
      </c>
      <c r="D19" s="98"/>
      <c r="E19" s="98"/>
      <c r="F19" s="95"/>
      <c r="G19" s="49" t="s">
        <v>8</v>
      </c>
    </row>
    <row r="20" spans="1:7" x14ac:dyDescent="0.3">
      <c r="A20" s="56" t="s">
        <v>47</v>
      </c>
      <c r="B20" s="51">
        <v>5</v>
      </c>
      <c r="C20" s="51">
        <f>100%*B20</f>
        <v>5</v>
      </c>
      <c r="D20" s="51">
        <f>20%*C20</f>
        <v>1</v>
      </c>
      <c r="E20" s="51">
        <f>13%*C20</f>
        <v>0.65</v>
      </c>
      <c r="F20" s="51">
        <f>26.6%*C20</f>
        <v>1.33</v>
      </c>
      <c r="G20" s="51">
        <f>4*(D20+F20)+9*E20</f>
        <v>15.170000000000002</v>
      </c>
    </row>
    <row r="21" spans="1:7" x14ac:dyDescent="0.3">
      <c r="A21" s="50" t="s">
        <v>10</v>
      </c>
      <c r="B21" s="51">
        <v>10</v>
      </c>
      <c r="C21" s="51">
        <f>100%*B21</f>
        <v>10</v>
      </c>
      <c r="D21" s="51"/>
      <c r="E21" s="51"/>
      <c r="F21" s="51">
        <f>99%*C21</f>
        <v>9.9</v>
      </c>
      <c r="G21" s="51">
        <f>4*(D21+F21)+9*E21</f>
        <v>39.6</v>
      </c>
    </row>
    <row r="22" spans="1:7" x14ac:dyDescent="0.3">
      <c r="A22" s="49" t="s">
        <v>12</v>
      </c>
      <c r="B22" s="99">
        <v>200</v>
      </c>
      <c r="C22" s="100"/>
      <c r="D22" s="52">
        <f>SUM(D20:D21)</f>
        <v>1</v>
      </c>
      <c r="E22" s="52">
        <f>SUM(E20:E21)</f>
        <v>0.65</v>
      </c>
      <c r="F22" s="52">
        <f>SUM(F20:F21)</f>
        <v>11.23</v>
      </c>
      <c r="G22" s="52">
        <f>SUM(G20:G21)</f>
        <v>54.77</v>
      </c>
    </row>
    <row r="24" spans="1:7" s="6" customFormat="1" x14ac:dyDescent="0.3">
      <c r="A24" s="114" t="s">
        <v>120</v>
      </c>
      <c r="B24" s="74">
        <f>B22+B15</f>
        <v>400</v>
      </c>
      <c r="C24" s="74"/>
      <c r="D24" s="45">
        <f>D22+D15</f>
        <v>10.37064</v>
      </c>
      <c r="E24" s="45">
        <f>E22+E15</f>
        <v>9.6620000000000008</v>
      </c>
      <c r="F24" s="45">
        <f>F22+F15</f>
        <v>51.506</v>
      </c>
      <c r="G24" s="45">
        <f>G22+G15</f>
        <v>334.46456000000001</v>
      </c>
    </row>
    <row r="25" spans="1:7" x14ac:dyDescent="0.3">
      <c r="A25" s="63"/>
      <c r="B25" s="63"/>
      <c r="C25" s="63"/>
      <c r="D25" s="158"/>
      <c r="E25" s="158"/>
      <c r="F25" s="158"/>
      <c r="G25" s="158"/>
    </row>
    <row r="26" spans="1:7" x14ac:dyDescent="0.3">
      <c r="A26" s="150" t="s">
        <v>132</v>
      </c>
      <c r="B26" s="63"/>
      <c r="C26" s="63"/>
      <c r="D26" s="158"/>
      <c r="E26" s="158"/>
      <c r="F26" s="158"/>
      <c r="G26" s="158"/>
    </row>
    <row r="28" spans="1:7" x14ac:dyDescent="0.3">
      <c r="A28" s="143" t="s">
        <v>63</v>
      </c>
      <c r="B28" s="143"/>
      <c r="C28" s="143"/>
      <c r="D28" s="143"/>
      <c r="E28" s="143"/>
      <c r="F28" s="143"/>
      <c r="G28" s="143"/>
    </row>
    <row r="29" spans="1:7" ht="30" x14ac:dyDescent="0.3">
      <c r="A29" s="95" t="s">
        <v>0</v>
      </c>
      <c r="B29" s="95" t="s">
        <v>1</v>
      </c>
      <c r="C29" s="95"/>
      <c r="D29" s="97" t="s">
        <v>2</v>
      </c>
      <c r="E29" s="97" t="s">
        <v>3</v>
      </c>
      <c r="F29" s="95" t="s">
        <v>36</v>
      </c>
      <c r="G29" s="49" t="s">
        <v>5</v>
      </c>
    </row>
    <row r="30" spans="1:7" x14ac:dyDescent="0.3">
      <c r="A30" s="95"/>
      <c r="B30" s="49" t="s">
        <v>6</v>
      </c>
      <c r="C30" s="49" t="s">
        <v>7</v>
      </c>
      <c r="D30" s="98"/>
      <c r="E30" s="98"/>
      <c r="F30" s="95"/>
      <c r="G30" s="49" t="s">
        <v>8</v>
      </c>
    </row>
    <row r="31" spans="1:7" ht="30" x14ac:dyDescent="0.3">
      <c r="A31" s="110" t="s">
        <v>64</v>
      </c>
      <c r="B31" s="144">
        <v>280</v>
      </c>
      <c r="C31" s="144">
        <f>B31*72%</f>
        <v>201.6</v>
      </c>
      <c r="D31" s="144">
        <f>18.5%*C31</f>
        <v>37.295999999999999</v>
      </c>
      <c r="E31" s="144">
        <f>15.9%*C31</f>
        <v>32.054400000000001</v>
      </c>
      <c r="F31" s="144"/>
      <c r="G31" s="144">
        <f>4*(D31+F31)+9*E31</f>
        <v>437.67359999999996</v>
      </c>
    </row>
    <row r="32" spans="1:7" x14ac:dyDescent="0.3">
      <c r="A32" s="110" t="s">
        <v>65</v>
      </c>
      <c r="B32" s="144">
        <v>50</v>
      </c>
      <c r="C32" s="144">
        <f>100%*B32</f>
        <v>50</v>
      </c>
      <c r="D32" s="144">
        <f>2.6%*C32</f>
        <v>1.3</v>
      </c>
      <c r="E32" s="144">
        <f>20%*C32</f>
        <v>10</v>
      </c>
      <c r="F32" s="144">
        <f>3.8%*C32</f>
        <v>1.9</v>
      </c>
      <c r="G32" s="144">
        <f>4*(D32+F32)+9*E32</f>
        <v>102.8</v>
      </c>
    </row>
    <row r="33" spans="1:7" x14ac:dyDescent="0.3">
      <c r="A33" s="110" t="s">
        <v>66</v>
      </c>
      <c r="B33" s="144">
        <v>0.1</v>
      </c>
      <c r="C33" s="144">
        <f>100%*B33</f>
        <v>0.1</v>
      </c>
      <c r="D33" s="144"/>
      <c r="E33" s="144"/>
      <c r="F33" s="144"/>
      <c r="G33" s="144">
        <f>4*(D33+F33)+9*E33</f>
        <v>0</v>
      </c>
    </row>
    <row r="34" spans="1:7" x14ac:dyDescent="0.3">
      <c r="A34" s="110" t="s">
        <v>18</v>
      </c>
      <c r="B34" s="144">
        <v>1.5</v>
      </c>
      <c r="C34" s="144">
        <f>85%*B34</f>
        <v>1.2749999999999999</v>
      </c>
      <c r="D34" s="144"/>
      <c r="E34" s="144"/>
      <c r="F34" s="144"/>
      <c r="G34" s="144">
        <f>4*(D34+F34)+9*E34</f>
        <v>0</v>
      </c>
    </row>
    <row r="35" spans="1:7" x14ac:dyDescent="0.3">
      <c r="A35" s="50" t="s">
        <v>11</v>
      </c>
      <c r="B35" s="144">
        <v>1.5</v>
      </c>
      <c r="C35" s="144">
        <v>1.5</v>
      </c>
      <c r="D35" s="144"/>
      <c r="E35" s="144"/>
      <c r="F35" s="144"/>
      <c r="G35" s="144">
        <v>0</v>
      </c>
    </row>
    <row r="36" spans="1:7" x14ac:dyDescent="0.3">
      <c r="A36" s="110" t="s">
        <v>67</v>
      </c>
      <c r="B36" s="144">
        <v>10</v>
      </c>
      <c r="C36" s="144">
        <f>100%*B36</f>
        <v>10</v>
      </c>
      <c r="D36" s="144">
        <f>0.5%*C36</f>
        <v>0.05</v>
      </c>
      <c r="E36" s="144">
        <f>82.5%*C36</f>
        <v>8.25</v>
      </c>
      <c r="F36" s="144">
        <f>0.8%*C36</f>
        <v>0.08</v>
      </c>
      <c r="G36" s="144">
        <f>4*(D36+F36)+9*E36</f>
        <v>74.77</v>
      </c>
    </row>
    <row r="37" spans="1:7" x14ac:dyDescent="0.3">
      <c r="A37" s="49" t="s">
        <v>12</v>
      </c>
      <c r="B37" s="99">
        <v>150</v>
      </c>
      <c r="C37" s="100"/>
      <c r="D37" s="145">
        <f>SUM(D31:D36)</f>
        <v>38.645999999999994</v>
      </c>
      <c r="E37" s="145">
        <f>SUM(E31:E36)</f>
        <v>50.304400000000001</v>
      </c>
      <c r="F37" s="145">
        <f>SUM(F31:F36)</f>
        <v>1.98</v>
      </c>
      <c r="G37" s="145">
        <f>SUM(G31:G36)</f>
        <v>615.2435999999999</v>
      </c>
    </row>
    <row r="40" spans="1:7" x14ac:dyDescent="0.3">
      <c r="A40" s="143" t="s">
        <v>54</v>
      </c>
      <c r="B40" s="143"/>
      <c r="C40" s="143"/>
      <c r="D40" s="143"/>
      <c r="E40" s="143"/>
      <c r="F40" s="143"/>
      <c r="G40" s="143"/>
    </row>
    <row r="41" spans="1:7" ht="30" x14ac:dyDescent="0.3">
      <c r="A41" s="95" t="s">
        <v>0</v>
      </c>
      <c r="B41" s="95" t="s">
        <v>1</v>
      </c>
      <c r="C41" s="95"/>
      <c r="D41" s="97" t="s">
        <v>2</v>
      </c>
      <c r="E41" s="97" t="s">
        <v>3</v>
      </c>
      <c r="F41" s="95" t="s">
        <v>36</v>
      </c>
      <c r="G41" s="49" t="s">
        <v>5</v>
      </c>
    </row>
    <row r="42" spans="1:7" x14ac:dyDescent="0.3">
      <c r="A42" s="95"/>
      <c r="B42" s="49" t="s">
        <v>6</v>
      </c>
      <c r="C42" s="49" t="s">
        <v>7</v>
      </c>
      <c r="D42" s="98"/>
      <c r="E42" s="98"/>
      <c r="F42" s="95"/>
      <c r="G42" s="49" t="s">
        <v>8</v>
      </c>
    </row>
    <row r="43" spans="1:7" x14ac:dyDescent="0.3">
      <c r="A43" s="110" t="s">
        <v>27</v>
      </c>
      <c r="B43" s="144">
        <v>250</v>
      </c>
      <c r="C43" s="144">
        <f>72%*B43</f>
        <v>180</v>
      </c>
      <c r="D43" s="144">
        <f>2.1%*C43</f>
        <v>3.7800000000000002</v>
      </c>
      <c r="E43" s="144">
        <f>0.4%*C43</f>
        <v>0.72</v>
      </c>
      <c r="F43" s="144">
        <f>15.6%*C43</f>
        <v>28.08</v>
      </c>
      <c r="G43" s="144">
        <f>4*(D43+F43)+9*E43</f>
        <v>133.91999999999999</v>
      </c>
    </row>
    <row r="44" spans="1:7" x14ac:dyDescent="0.3">
      <c r="A44" s="110" t="s">
        <v>67</v>
      </c>
      <c r="B44" s="144">
        <v>5</v>
      </c>
      <c r="C44" s="144">
        <f>100%*B44</f>
        <v>5</v>
      </c>
      <c r="D44" s="144">
        <f>0.5%*C44</f>
        <v>2.5000000000000001E-2</v>
      </c>
      <c r="E44" s="144">
        <f>82.5%*C44</f>
        <v>4.125</v>
      </c>
      <c r="F44" s="144">
        <f>0.8%*C44</f>
        <v>0.04</v>
      </c>
      <c r="G44" s="144">
        <f>4*(D44+F44)+9*E44</f>
        <v>37.384999999999998</v>
      </c>
    </row>
    <row r="45" spans="1:7" x14ac:dyDescent="0.3">
      <c r="A45" s="110" t="s">
        <v>55</v>
      </c>
      <c r="B45" s="144">
        <v>120</v>
      </c>
      <c r="C45" s="144">
        <v>120</v>
      </c>
      <c r="D45" s="144"/>
      <c r="E45" s="144"/>
      <c r="F45" s="144"/>
      <c r="G45" s="144"/>
    </row>
    <row r="46" spans="1:7" x14ac:dyDescent="0.3">
      <c r="A46" s="50" t="s">
        <v>11</v>
      </c>
      <c r="B46" s="144">
        <v>2</v>
      </c>
      <c r="C46" s="144">
        <f>100%*B46</f>
        <v>2</v>
      </c>
      <c r="D46" s="144"/>
      <c r="E46" s="144"/>
      <c r="F46" s="144"/>
      <c r="G46" s="144">
        <f>4*(D46+F46)+9*E46</f>
        <v>0</v>
      </c>
    </row>
    <row r="47" spans="1:7" x14ac:dyDescent="0.3">
      <c r="A47" s="49" t="s">
        <v>12</v>
      </c>
      <c r="B47" s="99">
        <v>150</v>
      </c>
      <c r="C47" s="100"/>
      <c r="D47" s="145">
        <f>SUM(D43:D46)</f>
        <v>3.8050000000000002</v>
      </c>
      <c r="E47" s="145">
        <f>SUM(E43:E46)</f>
        <v>4.8449999999999998</v>
      </c>
      <c r="F47" s="145">
        <f>SUM(F43:F46)</f>
        <v>28.119999999999997</v>
      </c>
      <c r="G47" s="145">
        <f>SUM(G43:G46)</f>
        <v>171.30499999999998</v>
      </c>
    </row>
    <row r="48" spans="1:7" x14ac:dyDescent="0.3">
      <c r="A48" s="172" t="s">
        <v>49</v>
      </c>
      <c r="B48" s="145">
        <v>250</v>
      </c>
      <c r="C48" s="145">
        <v>250</v>
      </c>
      <c r="D48" s="145">
        <f>C48*7.9%</f>
        <v>19.75</v>
      </c>
      <c r="E48" s="145">
        <f>C48*1%</f>
        <v>2.5</v>
      </c>
      <c r="F48" s="145">
        <f>C48*49.6%</f>
        <v>124</v>
      </c>
      <c r="G48" s="145">
        <f>4*(D48+F48)+9*E48</f>
        <v>597.5</v>
      </c>
    </row>
    <row r="50" spans="1:7" ht="36" customHeight="1" x14ac:dyDescent="0.3">
      <c r="A50" s="95" t="s">
        <v>0</v>
      </c>
      <c r="B50" s="95" t="s">
        <v>1</v>
      </c>
      <c r="C50" s="95"/>
      <c r="D50" s="97" t="s">
        <v>2</v>
      </c>
      <c r="E50" s="97" t="s">
        <v>3</v>
      </c>
      <c r="F50" s="95" t="s">
        <v>36</v>
      </c>
      <c r="G50" s="49" t="s">
        <v>5</v>
      </c>
    </row>
    <row r="51" spans="1:7" x14ac:dyDescent="0.3">
      <c r="A51" s="95"/>
      <c r="B51" s="49" t="s">
        <v>6</v>
      </c>
      <c r="C51" s="49" t="s">
        <v>7</v>
      </c>
      <c r="D51" s="98"/>
      <c r="E51" s="98"/>
      <c r="F51" s="95"/>
      <c r="G51" s="49" t="s">
        <v>8</v>
      </c>
    </row>
    <row r="52" spans="1:7" x14ac:dyDescent="0.3">
      <c r="A52" s="50" t="s">
        <v>62</v>
      </c>
      <c r="B52" s="144">
        <v>200</v>
      </c>
      <c r="C52" s="144">
        <f>100%*B52</f>
        <v>200</v>
      </c>
      <c r="D52" s="144">
        <f>0.66%*C52</f>
        <v>1.32</v>
      </c>
      <c r="E52" s="144"/>
      <c r="F52" s="144">
        <f>17.3%*C52</f>
        <v>34.6</v>
      </c>
      <c r="G52" s="144">
        <f>4*(D52+F52)+9*E52</f>
        <v>143.68</v>
      </c>
    </row>
    <row r="53" spans="1:7" x14ac:dyDescent="0.3">
      <c r="A53" s="49" t="s">
        <v>12</v>
      </c>
      <c r="B53" s="99">
        <v>200</v>
      </c>
      <c r="C53" s="100"/>
      <c r="D53" s="145">
        <f>SUM(D52:D52)</f>
        <v>1.32</v>
      </c>
      <c r="E53" s="145">
        <f>SUM(E52:E52)</f>
        <v>0</v>
      </c>
      <c r="F53" s="145">
        <f>SUM(F52:F52)</f>
        <v>34.6</v>
      </c>
      <c r="G53" s="145">
        <f>SUM(G52:G52)</f>
        <v>143.68</v>
      </c>
    </row>
    <row r="55" spans="1:7" s="6" customFormat="1" x14ac:dyDescent="0.3">
      <c r="A55" s="114" t="s">
        <v>128</v>
      </c>
      <c r="B55" s="74">
        <f>B53+C48+B47+B37</f>
        <v>750</v>
      </c>
      <c r="C55" s="74"/>
      <c r="D55" s="45">
        <f>D53+D48+D47+D37</f>
        <v>63.520999999999994</v>
      </c>
      <c r="E55" s="45">
        <f>E53+E48+E47+E37</f>
        <v>57.6494</v>
      </c>
      <c r="F55" s="45">
        <f>F53+F48+F47+F37</f>
        <v>188.7</v>
      </c>
      <c r="G55" s="45">
        <f>G53+G48+G47+G37</f>
        <v>1527.7285999999999</v>
      </c>
    </row>
    <row r="56" spans="1:7" x14ac:dyDescent="0.3">
      <c r="A56" s="63"/>
      <c r="B56" s="63"/>
      <c r="C56" s="63"/>
      <c r="D56" s="158"/>
      <c r="E56" s="158"/>
      <c r="F56" s="158"/>
      <c r="G56" s="158"/>
    </row>
    <row r="57" spans="1:7" x14ac:dyDescent="0.3">
      <c r="A57" s="150" t="s">
        <v>130</v>
      </c>
      <c r="B57" s="63"/>
      <c r="C57" s="63"/>
      <c r="D57" s="158"/>
      <c r="E57" s="158"/>
      <c r="F57" s="158"/>
      <c r="G57" s="158"/>
    </row>
    <row r="59" spans="1:7" x14ac:dyDescent="0.3">
      <c r="A59" s="143" t="s">
        <v>68</v>
      </c>
      <c r="B59" s="143"/>
      <c r="C59" s="143"/>
      <c r="D59" s="143"/>
      <c r="E59" s="143"/>
      <c r="F59" s="143"/>
      <c r="G59" s="143"/>
    </row>
    <row r="60" spans="1:7" ht="30" x14ac:dyDescent="0.3">
      <c r="A60" s="95" t="s">
        <v>0</v>
      </c>
      <c r="B60" s="95" t="s">
        <v>1</v>
      </c>
      <c r="C60" s="95"/>
      <c r="D60" s="97" t="s">
        <v>2</v>
      </c>
      <c r="E60" s="97" t="s">
        <v>3</v>
      </c>
      <c r="F60" s="95" t="s">
        <v>36</v>
      </c>
      <c r="G60" s="49" t="s">
        <v>5</v>
      </c>
    </row>
    <row r="61" spans="1:7" x14ac:dyDescent="0.3">
      <c r="A61" s="95"/>
      <c r="B61" s="49" t="s">
        <v>6</v>
      </c>
      <c r="C61" s="49" t="s">
        <v>7</v>
      </c>
      <c r="D61" s="98"/>
      <c r="E61" s="98"/>
      <c r="F61" s="95"/>
      <c r="G61" s="49" t="s">
        <v>8</v>
      </c>
    </row>
    <row r="62" spans="1:7" x14ac:dyDescent="0.3">
      <c r="A62" s="110" t="s">
        <v>69</v>
      </c>
      <c r="B62" s="144">
        <v>200</v>
      </c>
      <c r="C62" s="144">
        <f>92%*B62</f>
        <v>184</v>
      </c>
      <c r="D62" s="144">
        <f>15.48%*C62</f>
        <v>28.4832</v>
      </c>
      <c r="E62" s="144">
        <f>8.69%*C62</f>
        <v>15.989599999999998</v>
      </c>
      <c r="F62" s="144"/>
      <c r="G62" s="144">
        <f>4*(D62+F62)+9*E62</f>
        <v>257.83920000000001</v>
      </c>
    </row>
    <row r="63" spans="1:7" x14ac:dyDescent="0.3">
      <c r="A63" s="50" t="s">
        <v>70</v>
      </c>
      <c r="B63" s="144">
        <v>10</v>
      </c>
      <c r="C63" s="144">
        <f>B63*100%</f>
        <v>10</v>
      </c>
      <c r="D63" s="144">
        <f>C63*10%</f>
        <v>1</v>
      </c>
      <c r="E63" s="144">
        <f>C63*1.3%</f>
        <v>0.13</v>
      </c>
      <c r="F63" s="144">
        <f>C63*69%</f>
        <v>6.8999999999999995</v>
      </c>
      <c r="G63" s="144">
        <f>4*(D63+F63)+9*E63</f>
        <v>32.769999999999996</v>
      </c>
    </row>
    <row r="64" spans="1:7" x14ac:dyDescent="0.3">
      <c r="A64" s="50" t="s">
        <v>11</v>
      </c>
      <c r="B64" s="144">
        <v>1</v>
      </c>
      <c r="C64" s="144">
        <f>100%*B64</f>
        <v>1</v>
      </c>
      <c r="D64" s="144"/>
      <c r="E64" s="144"/>
      <c r="F64" s="144"/>
      <c r="G64" s="144">
        <f>4*(D64+F64)+9*E64</f>
        <v>0</v>
      </c>
    </row>
    <row r="65" spans="1:7" x14ac:dyDescent="0.3">
      <c r="A65" s="50" t="s">
        <v>26</v>
      </c>
      <c r="B65" s="144">
        <v>8</v>
      </c>
      <c r="C65" s="144">
        <f>100%*B65</f>
        <v>8</v>
      </c>
      <c r="D65" s="144"/>
      <c r="E65" s="144">
        <f>99.9%*C65</f>
        <v>7.9920000000000009</v>
      </c>
      <c r="F65" s="144"/>
      <c r="G65" s="144">
        <f>4*(D65+F65)+9*E65</f>
        <v>71.928000000000011</v>
      </c>
    </row>
    <row r="66" spans="1:7" x14ac:dyDescent="0.3">
      <c r="A66" s="49" t="s">
        <v>12</v>
      </c>
      <c r="B66" s="119">
        <v>135</v>
      </c>
      <c r="C66" s="120"/>
      <c r="D66" s="145">
        <f>SUM(D62:D65)</f>
        <v>29.4832</v>
      </c>
      <c r="E66" s="145">
        <f>SUM(E62:E65)</f>
        <v>24.111599999999999</v>
      </c>
      <c r="F66" s="145">
        <f>SUM(F62:F65)</f>
        <v>6.8999999999999995</v>
      </c>
      <c r="G66" s="145">
        <f>SUM(G62:G65)</f>
        <v>362.53719999999998</v>
      </c>
    </row>
    <row r="69" spans="1:7" ht="30" x14ac:dyDescent="0.3">
      <c r="A69" s="173" t="s">
        <v>71</v>
      </c>
      <c r="B69" s="173"/>
      <c r="C69" s="173"/>
      <c r="D69" s="173"/>
      <c r="E69" s="173"/>
      <c r="F69" s="173"/>
      <c r="G69" s="173"/>
    </row>
    <row r="70" spans="1:7" ht="30" x14ac:dyDescent="0.3">
      <c r="A70" s="95" t="s">
        <v>0</v>
      </c>
      <c r="B70" s="95" t="s">
        <v>1</v>
      </c>
      <c r="C70" s="95"/>
      <c r="D70" s="97" t="s">
        <v>2</v>
      </c>
      <c r="E70" s="97" t="s">
        <v>3</v>
      </c>
      <c r="F70" s="95" t="s">
        <v>36</v>
      </c>
      <c r="G70" s="49" t="s">
        <v>5</v>
      </c>
    </row>
    <row r="71" spans="1:7" x14ac:dyDescent="0.3">
      <c r="A71" s="95"/>
      <c r="B71" s="49" t="s">
        <v>6</v>
      </c>
      <c r="C71" s="49" t="s">
        <v>7</v>
      </c>
      <c r="D71" s="98"/>
      <c r="E71" s="98"/>
      <c r="F71" s="95"/>
      <c r="G71" s="49" t="s">
        <v>8</v>
      </c>
    </row>
    <row r="72" spans="1:7" x14ac:dyDescent="0.3">
      <c r="A72" s="50" t="s">
        <v>23</v>
      </c>
      <c r="B72" s="144">
        <v>65</v>
      </c>
      <c r="C72" s="144">
        <f>80%*B72</f>
        <v>52</v>
      </c>
      <c r="D72" s="144">
        <f>1.77%*C72</f>
        <v>0.9204</v>
      </c>
      <c r="E72" s="144"/>
      <c r="F72" s="144">
        <f>11%*C72</f>
        <v>5.72</v>
      </c>
      <c r="G72" s="144">
        <f t="shared" ref="G72:G77" si="0">4*(D72+F72)+9*E72</f>
        <v>26.561599999999999</v>
      </c>
    </row>
    <row r="73" spans="1:7" x14ac:dyDescent="0.3">
      <c r="A73" s="50" t="s">
        <v>21</v>
      </c>
      <c r="B73" s="144">
        <v>150</v>
      </c>
      <c r="C73" s="144">
        <f>72%*B73</f>
        <v>108</v>
      </c>
      <c r="D73" s="144">
        <f>2.1%*C73</f>
        <v>2.2680000000000002</v>
      </c>
      <c r="E73" s="144">
        <f>0.4%*C73</f>
        <v>0.432</v>
      </c>
      <c r="F73" s="144">
        <f>15.6%*C73</f>
        <v>16.847999999999999</v>
      </c>
      <c r="G73" s="144">
        <f t="shared" si="0"/>
        <v>80.352000000000004</v>
      </c>
    </row>
    <row r="74" spans="1:7" x14ac:dyDescent="0.3">
      <c r="A74" s="50" t="s">
        <v>24</v>
      </c>
      <c r="B74" s="144">
        <v>15</v>
      </c>
      <c r="C74" s="144">
        <f>B74*100%</f>
        <v>15</v>
      </c>
      <c r="D74" s="144">
        <f>C74*20%</f>
        <v>3</v>
      </c>
      <c r="E74" s="144">
        <f>C74*2%</f>
        <v>0.3</v>
      </c>
      <c r="F74" s="144">
        <f>C74*48%</f>
        <v>7.1999999999999993</v>
      </c>
      <c r="G74" s="144">
        <f t="shared" si="0"/>
        <v>43.5</v>
      </c>
    </row>
    <row r="75" spans="1:7" x14ac:dyDescent="0.3">
      <c r="A75" s="50" t="s">
        <v>26</v>
      </c>
      <c r="B75" s="144">
        <v>5</v>
      </c>
      <c r="C75" s="144">
        <f>100%*B75</f>
        <v>5</v>
      </c>
      <c r="D75" s="144"/>
      <c r="E75" s="144">
        <f>99.9%*C75</f>
        <v>4.995000000000001</v>
      </c>
      <c r="F75" s="144"/>
      <c r="G75" s="144">
        <f t="shared" si="0"/>
        <v>44.955000000000013</v>
      </c>
    </row>
    <row r="76" spans="1:7" x14ac:dyDescent="0.3">
      <c r="A76" s="50" t="s">
        <v>19</v>
      </c>
      <c r="B76" s="144">
        <v>14</v>
      </c>
      <c r="C76" s="144">
        <f>85%*B76</f>
        <v>11.9</v>
      </c>
      <c r="D76" s="144"/>
      <c r="E76" s="144"/>
      <c r="F76" s="144"/>
      <c r="G76" s="144">
        <f t="shared" si="0"/>
        <v>0</v>
      </c>
    </row>
    <row r="77" spans="1:7" x14ac:dyDescent="0.3">
      <c r="A77" s="50" t="s">
        <v>11</v>
      </c>
      <c r="B77" s="144">
        <v>1</v>
      </c>
      <c r="C77" s="144">
        <f>100%*B77</f>
        <v>1</v>
      </c>
      <c r="D77" s="144"/>
      <c r="E77" s="144"/>
      <c r="F77" s="144"/>
      <c r="G77" s="144">
        <f t="shared" si="0"/>
        <v>0</v>
      </c>
    </row>
    <row r="78" spans="1:7" x14ac:dyDescent="0.3">
      <c r="A78" s="49" t="s">
        <v>12</v>
      </c>
      <c r="B78" s="99">
        <v>200</v>
      </c>
      <c r="C78" s="100"/>
      <c r="D78" s="145">
        <f>SUM(D72:D77)</f>
        <v>6.1883999999999997</v>
      </c>
      <c r="E78" s="145">
        <f>SUM(E72:E77)</f>
        <v>5.7270000000000012</v>
      </c>
      <c r="F78" s="145">
        <f>SUM(F72:F77)</f>
        <v>29.767999999999997</v>
      </c>
      <c r="G78" s="145">
        <f>SUM(G72:G77)</f>
        <v>195.36860000000001</v>
      </c>
    </row>
    <row r="79" spans="1:7" x14ac:dyDescent="0.3">
      <c r="A79" s="65" t="s">
        <v>49</v>
      </c>
      <c r="B79" s="145">
        <v>250</v>
      </c>
      <c r="C79" s="145">
        <v>250</v>
      </c>
      <c r="D79" s="145">
        <f>C79*7.9%</f>
        <v>19.75</v>
      </c>
      <c r="E79" s="145">
        <f>C79*1%</f>
        <v>2.5</v>
      </c>
      <c r="F79" s="145">
        <f>C79*49.6%</f>
        <v>124</v>
      </c>
      <c r="G79" s="145">
        <f>4*(D79+F79)+9*E79</f>
        <v>597.5</v>
      </c>
    </row>
    <row r="80" spans="1:7" x14ac:dyDescent="0.3">
      <c r="A80" s="1"/>
      <c r="B80" s="1"/>
      <c r="C80" s="1"/>
      <c r="D80" s="1"/>
      <c r="E80" s="1"/>
      <c r="F80" s="1"/>
      <c r="G80" s="1"/>
    </row>
    <row r="81" spans="1:7" hidden="1" x14ac:dyDescent="0.3"/>
    <row r="82" spans="1:7" ht="18" hidden="1" customHeight="1" x14ac:dyDescent="0.3">
      <c r="A82" s="114" t="s">
        <v>121</v>
      </c>
      <c r="B82" s="174">
        <f>ოთხშაბათი!B17+C79+B78+B66</f>
        <v>735</v>
      </c>
      <c r="C82" s="175"/>
      <c r="D82" s="176">
        <f>ოთხშაბათი!D17+D79+D78+D66</f>
        <v>62.957539999999995</v>
      </c>
      <c r="E82" s="176">
        <f>ოთხშაბათი!E17+E79+E78+E66</f>
        <v>38.3872</v>
      </c>
      <c r="F82" s="176">
        <f>ოთხშაბათი!F17+F79+F78+F66</f>
        <v>217.29689999999999</v>
      </c>
      <c r="G82" s="176">
        <f>ოთხშაბათი!G17+G79+G78+G66</f>
        <v>1466.5025600000001</v>
      </c>
    </row>
    <row r="83" spans="1:7" x14ac:dyDescent="0.3">
      <c r="A83" s="114" t="s">
        <v>129</v>
      </c>
      <c r="B83" s="74">
        <f>C79+B78+B66</f>
        <v>585</v>
      </c>
      <c r="C83" s="74"/>
      <c r="D83" s="45">
        <f>D79+D78+D66</f>
        <v>55.421599999999998</v>
      </c>
      <c r="E83" s="45">
        <f t="shared" ref="E83:G83" si="1">E79+E78+E66</f>
        <v>32.3386</v>
      </c>
      <c r="F83" s="45">
        <f t="shared" si="1"/>
        <v>160.66800000000001</v>
      </c>
      <c r="G83" s="45">
        <f t="shared" si="1"/>
        <v>1155.4058</v>
      </c>
    </row>
    <row r="85" spans="1:7" x14ac:dyDescent="0.3">
      <c r="A85" s="114" t="s">
        <v>122</v>
      </c>
      <c r="B85" s="74">
        <f>B83+B55+B24</f>
        <v>1735</v>
      </c>
      <c r="C85" s="74"/>
      <c r="D85" s="45">
        <f t="shared" ref="D85:F85" si="2">D83+D55+D24</f>
        <v>129.31324000000001</v>
      </c>
      <c r="E85" s="45">
        <f t="shared" si="2"/>
        <v>99.65</v>
      </c>
      <c r="F85" s="45">
        <f t="shared" si="2"/>
        <v>400.87400000000002</v>
      </c>
      <c r="G85" s="45">
        <f>G83+G55+G24</f>
        <v>3017.5989599999998</v>
      </c>
    </row>
  </sheetData>
  <mergeCells count="54">
    <mergeCell ref="A1:G1"/>
    <mergeCell ref="A2:G2"/>
    <mergeCell ref="A3:G3"/>
    <mergeCell ref="A28:G28"/>
    <mergeCell ref="A29:A30"/>
    <mergeCell ref="B29:C29"/>
    <mergeCell ref="D29:D30"/>
    <mergeCell ref="E29:E30"/>
    <mergeCell ref="F29:F30"/>
    <mergeCell ref="A5:G5"/>
    <mergeCell ref="A6:A7"/>
    <mergeCell ref="B6:C6"/>
    <mergeCell ref="D6:D7"/>
    <mergeCell ref="E6:E7"/>
    <mergeCell ref="F6:F7"/>
    <mergeCell ref="B15:C15"/>
    <mergeCell ref="F41:F42"/>
    <mergeCell ref="B47:C47"/>
    <mergeCell ref="A50:A51"/>
    <mergeCell ref="B50:C50"/>
    <mergeCell ref="D50:D51"/>
    <mergeCell ref="E50:E51"/>
    <mergeCell ref="B85:C85"/>
    <mergeCell ref="B66:C66"/>
    <mergeCell ref="B55:C55"/>
    <mergeCell ref="B82:C82"/>
    <mergeCell ref="B78:C78"/>
    <mergeCell ref="A59:G59"/>
    <mergeCell ref="A60:A61"/>
    <mergeCell ref="B60:C60"/>
    <mergeCell ref="D60:D61"/>
    <mergeCell ref="E60:E61"/>
    <mergeCell ref="F60:F61"/>
    <mergeCell ref="D18:D19"/>
    <mergeCell ref="E18:E19"/>
    <mergeCell ref="F18:F19"/>
    <mergeCell ref="A70:A71"/>
    <mergeCell ref="B70:C70"/>
    <mergeCell ref="D70:D71"/>
    <mergeCell ref="E70:E71"/>
    <mergeCell ref="F70:F71"/>
    <mergeCell ref="B53:C53"/>
    <mergeCell ref="F50:F51"/>
    <mergeCell ref="B37:C37"/>
    <mergeCell ref="A40:G40"/>
    <mergeCell ref="A41:A42"/>
    <mergeCell ref="B41:C41"/>
    <mergeCell ref="D41:D42"/>
    <mergeCell ref="E41:E42"/>
    <mergeCell ref="B22:C22"/>
    <mergeCell ref="B24:C24"/>
    <mergeCell ref="B83:C83"/>
    <mergeCell ref="A18:A19"/>
    <mergeCell ref="B18:C18"/>
  </mergeCells>
  <pageMargins left="0.7" right="0.7" top="0.75" bottom="0.75" header="0.3" footer="0.3"/>
  <pageSetup paperSize="9"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7"/>
  <sheetViews>
    <sheetView view="pageBreakPreview" zoomScale="106" zoomScaleNormal="100" zoomScaleSheetLayoutView="106" workbookViewId="0">
      <selection activeCell="B84" sqref="B84:C84"/>
    </sheetView>
  </sheetViews>
  <sheetFormatPr defaultRowHeight="12.75" x14ac:dyDescent="0.2"/>
  <cols>
    <col min="1" max="1" width="20.7109375" style="168" customWidth="1"/>
    <col min="2" max="6" width="16.5703125" style="46" customWidth="1"/>
    <col min="7" max="7" width="20.28515625" style="46" customWidth="1"/>
    <col min="8" max="16384" width="9.140625" style="46"/>
  </cols>
  <sheetData>
    <row r="1" spans="1:7" ht="20.25" customHeight="1" x14ac:dyDescent="0.2">
      <c r="A1" s="105" t="s">
        <v>123</v>
      </c>
      <c r="B1" s="105"/>
      <c r="C1" s="105"/>
      <c r="D1" s="105"/>
      <c r="E1" s="105"/>
      <c r="F1" s="105"/>
      <c r="G1" s="105"/>
    </row>
    <row r="2" spans="1:7" ht="83.25" customHeight="1" x14ac:dyDescent="0.2">
      <c r="A2" s="104" t="s">
        <v>127</v>
      </c>
      <c r="B2" s="104"/>
      <c r="C2" s="104"/>
      <c r="D2" s="104"/>
      <c r="E2" s="104"/>
      <c r="F2" s="104"/>
      <c r="G2" s="104"/>
    </row>
    <row r="3" spans="1:7" s="1" customFormat="1" ht="15" x14ac:dyDescent="0.3">
      <c r="A3" s="106" t="s">
        <v>72</v>
      </c>
      <c r="B3" s="106"/>
      <c r="C3" s="106"/>
      <c r="D3" s="106"/>
      <c r="E3" s="106"/>
      <c r="F3" s="106"/>
      <c r="G3" s="106"/>
    </row>
    <row r="4" spans="1:7" s="1" customFormat="1" ht="15" x14ac:dyDescent="0.3">
      <c r="A4" s="152" t="s">
        <v>119</v>
      </c>
    </row>
    <row r="5" spans="1:7" s="1" customFormat="1" ht="15" x14ac:dyDescent="0.3"/>
    <row r="6" spans="1:7" s="1" customFormat="1" ht="15" x14ac:dyDescent="0.3">
      <c r="A6" s="143" t="s">
        <v>126</v>
      </c>
      <c r="B6" s="143"/>
      <c r="C6" s="143"/>
      <c r="D6" s="143"/>
      <c r="E6" s="143"/>
      <c r="F6" s="143"/>
      <c r="G6" s="143"/>
    </row>
    <row r="7" spans="1:7" s="1" customFormat="1" ht="27.75" customHeight="1" x14ac:dyDescent="0.3">
      <c r="A7" s="97" t="s">
        <v>0</v>
      </c>
      <c r="B7" s="99" t="s">
        <v>1</v>
      </c>
      <c r="C7" s="100"/>
      <c r="D7" s="97" t="s">
        <v>2</v>
      </c>
      <c r="E7" s="97" t="s">
        <v>3</v>
      </c>
      <c r="F7" s="97" t="s">
        <v>36</v>
      </c>
      <c r="G7" s="49" t="s">
        <v>5</v>
      </c>
    </row>
    <row r="8" spans="1:7" s="1" customFormat="1" ht="18" customHeight="1" x14ac:dyDescent="0.3">
      <c r="A8" s="98"/>
      <c r="B8" s="118" t="s">
        <v>6</v>
      </c>
      <c r="C8" s="118" t="s">
        <v>7</v>
      </c>
      <c r="D8" s="98"/>
      <c r="E8" s="98"/>
      <c r="F8" s="98"/>
      <c r="G8" s="118" t="s">
        <v>8</v>
      </c>
    </row>
    <row r="9" spans="1:7" s="1" customFormat="1" ht="30" x14ac:dyDescent="0.3">
      <c r="A9" s="110" t="s">
        <v>43</v>
      </c>
      <c r="B9" s="153">
        <v>60</v>
      </c>
      <c r="C9" s="153">
        <f>B9*100%</f>
        <v>60</v>
      </c>
      <c r="D9" s="153">
        <f>C9*10%</f>
        <v>6</v>
      </c>
      <c r="E9" s="153">
        <f>C9*1.3%</f>
        <v>0.78</v>
      </c>
      <c r="F9" s="153">
        <f>C9*69%</f>
        <v>41.4</v>
      </c>
      <c r="G9" s="153">
        <f>4*(D9+F9)+9*E9</f>
        <v>196.62</v>
      </c>
    </row>
    <row r="10" spans="1:7" s="1" customFormat="1" ht="15" x14ac:dyDescent="0.3">
      <c r="A10" s="154" t="s">
        <v>10</v>
      </c>
      <c r="B10" s="135">
        <v>4</v>
      </c>
      <c r="C10" s="135">
        <f>100%*B10</f>
        <v>4</v>
      </c>
      <c r="D10" s="135"/>
      <c r="E10" s="135"/>
      <c r="F10" s="135">
        <f>99%*C10</f>
        <v>3.96</v>
      </c>
      <c r="G10" s="135">
        <f>4*(D10+F10)+9*E10</f>
        <v>15.84</v>
      </c>
    </row>
    <row r="11" spans="1:7" s="7" customFormat="1" ht="15" x14ac:dyDescent="0.3">
      <c r="A11" s="154" t="s">
        <v>26</v>
      </c>
      <c r="B11" s="135">
        <v>5</v>
      </c>
      <c r="C11" s="135">
        <f>100%*B11</f>
        <v>5</v>
      </c>
      <c r="D11" s="135"/>
      <c r="E11" s="135">
        <f>99.9%*C11</f>
        <v>4.995000000000001</v>
      </c>
      <c r="F11" s="135"/>
      <c r="G11" s="135">
        <f>4*(D11+F11)+9*E11</f>
        <v>44.955000000000013</v>
      </c>
    </row>
    <row r="12" spans="1:7" s="1" customFormat="1" ht="15" x14ac:dyDescent="0.3">
      <c r="A12" s="154" t="s">
        <v>11</v>
      </c>
      <c r="B12" s="144">
        <v>2</v>
      </c>
      <c r="C12" s="144">
        <f>100%*B12</f>
        <v>2</v>
      </c>
      <c r="D12" s="144"/>
      <c r="E12" s="144"/>
      <c r="F12" s="144"/>
      <c r="G12" s="144">
        <f>4*(D12+F12)+9*E12</f>
        <v>0</v>
      </c>
    </row>
    <row r="13" spans="1:7" s="1" customFormat="1" ht="15" x14ac:dyDescent="0.3">
      <c r="A13" s="50" t="s">
        <v>44</v>
      </c>
      <c r="B13" s="144">
        <v>1</v>
      </c>
      <c r="C13" s="144">
        <f>100%*B13</f>
        <v>1</v>
      </c>
      <c r="D13" s="144"/>
      <c r="E13" s="144"/>
      <c r="F13" s="144"/>
      <c r="G13" s="144"/>
    </row>
    <row r="14" spans="1:7" s="1" customFormat="1" ht="15" x14ac:dyDescent="0.3">
      <c r="A14" s="154" t="s">
        <v>21</v>
      </c>
      <c r="B14" s="135">
        <v>95</v>
      </c>
      <c r="C14" s="135">
        <f>72%*B14</f>
        <v>68.399999999999991</v>
      </c>
      <c r="D14" s="135">
        <f>2.1%*C14</f>
        <v>1.4363999999999999</v>
      </c>
      <c r="E14" s="135">
        <f>0.4%*C14</f>
        <v>0.27359999999999995</v>
      </c>
      <c r="F14" s="135">
        <f>15.6%*C14</f>
        <v>10.670399999999999</v>
      </c>
      <c r="G14" s="135">
        <f>4*(D14+F14)+9*E14</f>
        <v>50.889600000000002</v>
      </c>
    </row>
    <row r="15" spans="1:7" s="1" customFormat="1" ht="15" x14ac:dyDescent="0.3">
      <c r="A15" s="154" t="s">
        <v>15</v>
      </c>
      <c r="B15" s="144">
        <v>7</v>
      </c>
      <c r="C15" s="144">
        <f>90%*B15</f>
        <v>6.3</v>
      </c>
      <c r="D15" s="144">
        <f>1.58%*C15</f>
        <v>9.9540000000000003E-2</v>
      </c>
      <c r="E15" s="144"/>
      <c r="F15" s="144">
        <f>9.5%*C15</f>
        <v>0.59850000000000003</v>
      </c>
      <c r="G15" s="144">
        <f>4*(D15+F15)+9*E15</f>
        <v>2.79216</v>
      </c>
    </row>
    <row r="16" spans="1:7" s="1" customFormat="1" ht="15" x14ac:dyDescent="0.3">
      <c r="A16" s="154" t="s">
        <v>59</v>
      </c>
      <c r="B16" s="144">
        <v>1</v>
      </c>
      <c r="C16" s="144">
        <f>100%*B16</f>
        <v>1</v>
      </c>
      <c r="D16" s="144"/>
      <c r="E16" s="144"/>
      <c r="F16" s="144"/>
      <c r="G16" s="144">
        <f>4*(D16+F16)+9*E16</f>
        <v>0</v>
      </c>
    </row>
    <row r="17" spans="1:7" s="1" customFormat="1" ht="15" x14ac:dyDescent="0.3">
      <c r="A17" s="65" t="s">
        <v>12</v>
      </c>
      <c r="B17" s="155">
        <v>150</v>
      </c>
      <c r="C17" s="156"/>
      <c r="D17" s="145">
        <f>SUM(D9:D16)</f>
        <v>7.5359400000000001</v>
      </c>
      <c r="E17" s="145">
        <f>SUM(E9:E16)</f>
        <v>6.0486000000000013</v>
      </c>
      <c r="F17" s="145">
        <f>SUM(F9:F16)</f>
        <v>56.628900000000002</v>
      </c>
      <c r="G17" s="145">
        <f>SUM(G9:G16)</f>
        <v>311.09676000000007</v>
      </c>
    </row>
    <row r="18" spans="1:7" s="1" customFormat="1" ht="15" x14ac:dyDescent="0.3">
      <c r="A18" s="157"/>
      <c r="B18" s="146"/>
      <c r="C18" s="146"/>
      <c r="D18" s="146"/>
      <c r="E18" s="146"/>
      <c r="F18" s="146"/>
      <c r="G18" s="146"/>
    </row>
    <row r="19" spans="1:7" s="1" customFormat="1" ht="36" customHeight="1" x14ac:dyDescent="0.3">
      <c r="A19" s="95" t="s">
        <v>0</v>
      </c>
      <c r="B19" s="95" t="s">
        <v>1</v>
      </c>
      <c r="C19" s="95"/>
      <c r="D19" s="97" t="s">
        <v>2</v>
      </c>
      <c r="E19" s="97" t="s">
        <v>3</v>
      </c>
      <c r="F19" s="95" t="s">
        <v>4</v>
      </c>
      <c r="G19" s="49" t="s">
        <v>5</v>
      </c>
    </row>
    <row r="20" spans="1:7" s="1" customFormat="1" ht="15" x14ac:dyDescent="0.3">
      <c r="A20" s="95"/>
      <c r="B20" s="49" t="s">
        <v>6</v>
      </c>
      <c r="C20" s="49" t="s">
        <v>7</v>
      </c>
      <c r="D20" s="98"/>
      <c r="E20" s="98"/>
      <c r="F20" s="95"/>
      <c r="G20" s="49" t="s">
        <v>8</v>
      </c>
    </row>
    <row r="21" spans="1:7" s="1" customFormat="1" ht="15" x14ac:dyDescent="0.3">
      <c r="A21" s="56" t="s">
        <v>47</v>
      </c>
      <c r="B21" s="51">
        <v>5</v>
      </c>
      <c r="C21" s="51">
        <f>100%*B21</f>
        <v>5</v>
      </c>
      <c r="D21" s="51">
        <f>20%*C21</f>
        <v>1</v>
      </c>
      <c r="E21" s="51">
        <f>13%*C21</f>
        <v>0.65</v>
      </c>
      <c r="F21" s="51">
        <f>26.6%*C21</f>
        <v>1.33</v>
      </c>
      <c r="G21" s="51">
        <f>4*(D21+F21)+9*E21</f>
        <v>15.170000000000002</v>
      </c>
    </row>
    <row r="22" spans="1:7" s="1" customFormat="1" ht="15" x14ac:dyDescent="0.3">
      <c r="A22" s="50" t="s">
        <v>10</v>
      </c>
      <c r="B22" s="51">
        <v>10</v>
      </c>
      <c r="C22" s="51">
        <f>100%*B22</f>
        <v>10</v>
      </c>
      <c r="D22" s="51"/>
      <c r="E22" s="51"/>
      <c r="F22" s="51">
        <f>99%*C22</f>
        <v>9.9</v>
      </c>
      <c r="G22" s="51">
        <f>4*(D22+F22)+9*E22</f>
        <v>39.6</v>
      </c>
    </row>
    <row r="23" spans="1:7" s="1" customFormat="1" ht="15" x14ac:dyDescent="0.3">
      <c r="A23" s="49" t="s">
        <v>12</v>
      </c>
      <c r="B23" s="99">
        <v>200</v>
      </c>
      <c r="C23" s="100"/>
      <c r="D23" s="52">
        <f>SUM(D21:D22)</f>
        <v>1</v>
      </c>
      <c r="E23" s="52">
        <f>SUM(E21:E22)</f>
        <v>0.65</v>
      </c>
      <c r="F23" s="52">
        <f>SUM(F21:F22)</f>
        <v>11.23</v>
      </c>
      <c r="G23" s="52">
        <f>SUM(G21:G22)</f>
        <v>54.77</v>
      </c>
    </row>
    <row r="24" spans="1:7" s="1" customFormat="1" ht="15" x14ac:dyDescent="0.3">
      <c r="A24" s="8"/>
      <c r="B24" s="8"/>
      <c r="C24" s="8"/>
      <c r="D24" s="8"/>
      <c r="E24" s="8"/>
      <c r="F24" s="8"/>
      <c r="G24" s="8"/>
    </row>
    <row r="25" spans="1:7" s="6" customFormat="1" ht="15" x14ac:dyDescent="0.3">
      <c r="A25" s="114" t="s">
        <v>120</v>
      </c>
      <c r="B25" s="74">
        <f>B23+B17</f>
        <v>350</v>
      </c>
      <c r="C25" s="74"/>
      <c r="D25" s="45">
        <f>D23+D17</f>
        <v>8.5359400000000001</v>
      </c>
      <c r="E25" s="45">
        <f t="shared" ref="E25:G25" si="0">E23+E17</f>
        <v>6.6986000000000017</v>
      </c>
      <c r="F25" s="45">
        <f t="shared" si="0"/>
        <v>67.858900000000006</v>
      </c>
      <c r="G25" s="45">
        <f t="shared" si="0"/>
        <v>365.86676000000006</v>
      </c>
    </row>
    <row r="26" spans="1:7" s="1" customFormat="1" ht="15" x14ac:dyDescent="0.3">
      <c r="A26" s="63"/>
      <c r="B26" s="63"/>
      <c r="C26" s="63"/>
      <c r="D26" s="158"/>
      <c r="E26" s="158"/>
      <c r="F26" s="158"/>
      <c r="G26" s="158"/>
    </row>
    <row r="27" spans="1:7" s="1" customFormat="1" ht="15" x14ac:dyDescent="0.3">
      <c r="A27" s="150" t="s">
        <v>132</v>
      </c>
      <c r="B27" s="63"/>
      <c r="C27" s="63"/>
      <c r="D27" s="158"/>
      <c r="E27" s="158"/>
      <c r="F27" s="158"/>
      <c r="G27" s="158"/>
    </row>
    <row r="28" spans="1:7" s="1" customFormat="1" ht="15" x14ac:dyDescent="0.3">
      <c r="A28" s="8"/>
      <c r="B28" s="8"/>
      <c r="C28" s="8"/>
      <c r="D28" s="8"/>
      <c r="E28" s="8"/>
      <c r="F28" s="8"/>
      <c r="G28" s="8"/>
    </row>
    <row r="29" spans="1:7" s="1" customFormat="1" ht="22.5" customHeight="1" x14ac:dyDescent="0.3">
      <c r="A29" s="143" t="s">
        <v>73</v>
      </c>
      <c r="B29" s="143"/>
      <c r="C29" s="143"/>
    </row>
    <row r="30" spans="1:7" s="1" customFormat="1" ht="28.5" customHeight="1" x14ac:dyDescent="0.3">
      <c r="A30" s="97" t="s">
        <v>0</v>
      </c>
      <c r="B30" s="99" t="s">
        <v>1</v>
      </c>
      <c r="C30" s="100"/>
      <c r="D30" s="97" t="s">
        <v>2</v>
      </c>
      <c r="E30" s="97" t="s">
        <v>3</v>
      </c>
      <c r="F30" s="97" t="s">
        <v>4</v>
      </c>
      <c r="G30" s="49" t="s">
        <v>5</v>
      </c>
    </row>
    <row r="31" spans="1:7" s="1" customFormat="1" ht="15" x14ac:dyDescent="0.3">
      <c r="A31" s="98"/>
      <c r="B31" s="49" t="s">
        <v>6</v>
      </c>
      <c r="C31" s="49" t="s">
        <v>7</v>
      </c>
      <c r="D31" s="98"/>
      <c r="E31" s="98"/>
      <c r="F31" s="98"/>
      <c r="G31" s="49" t="s">
        <v>8</v>
      </c>
    </row>
    <row r="32" spans="1:7" s="1" customFormat="1" ht="15" x14ac:dyDescent="0.3">
      <c r="A32" s="159" t="s">
        <v>74</v>
      </c>
      <c r="B32" s="51">
        <v>180</v>
      </c>
      <c r="C32" s="51">
        <f>75%*B32</f>
        <v>135</v>
      </c>
      <c r="D32" s="51">
        <f>1.87%*C32</f>
        <v>2.5245000000000002</v>
      </c>
      <c r="E32" s="51"/>
      <c r="F32" s="51">
        <f>4.16%*C32</f>
        <v>5.6159999999999997</v>
      </c>
      <c r="G32" s="51">
        <f t="shared" ref="G32:G38" si="1">4*(D32+F32)+9*E32</f>
        <v>32.561999999999998</v>
      </c>
    </row>
    <row r="33" spans="1:7" s="1" customFormat="1" ht="15" x14ac:dyDescent="0.3">
      <c r="A33" s="159" t="s">
        <v>22</v>
      </c>
      <c r="B33" s="51">
        <v>25</v>
      </c>
      <c r="C33" s="51">
        <f>90%*B33</f>
        <v>22.5</v>
      </c>
      <c r="D33" s="51">
        <f>1.66%*C33</f>
        <v>0.3735</v>
      </c>
      <c r="E33" s="51"/>
      <c r="F33" s="51">
        <f>10%*C33</f>
        <v>2.25</v>
      </c>
      <c r="G33" s="51">
        <f t="shared" si="1"/>
        <v>10.494</v>
      </c>
    </row>
    <row r="34" spans="1:7" s="1" customFormat="1" ht="15" x14ac:dyDescent="0.3">
      <c r="A34" s="159" t="s">
        <v>18</v>
      </c>
      <c r="B34" s="51">
        <v>0.2</v>
      </c>
      <c r="C34" s="51">
        <f>92%*B34</f>
        <v>0.18400000000000002</v>
      </c>
      <c r="D34" s="51"/>
      <c r="E34" s="51"/>
      <c r="F34" s="51"/>
      <c r="G34" s="51">
        <f t="shared" si="1"/>
        <v>0</v>
      </c>
    </row>
    <row r="35" spans="1:7" s="1" customFormat="1" ht="15" x14ac:dyDescent="0.3">
      <c r="A35" s="159" t="s">
        <v>75</v>
      </c>
      <c r="B35" s="51">
        <v>0.05</v>
      </c>
      <c r="C35" s="51">
        <f>100%*B35</f>
        <v>0.05</v>
      </c>
      <c r="D35" s="51"/>
      <c r="E35" s="51"/>
      <c r="F35" s="51"/>
      <c r="G35" s="51">
        <f t="shared" si="1"/>
        <v>0</v>
      </c>
    </row>
    <row r="36" spans="1:7" s="1" customFormat="1" ht="15" x14ac:dyDescent="0.3">
      <c r="A36" s="159" t="s">
        <v>11</v>
      </c>
      <c r="B36" s="51">
        <v>1</v>
      </c>
      <c r="C36" s="51">
        <f>B36*100%</f>
        <v>1</v>
      </c>
      <c r="D36" s="51">
        <f>C36*10%</f>
        <v>0.1</v>
      </c>
      <c r="E36" s="51">
        <f>C36*1.3%</f>
        <v>1.3000000000000001E-2</v>
      </c>
      <c r="F36" s="51">
        <f>C36*69%</f>
        <v>0.69</v>
      </c>
      <c r="G36" s="51">
        <f t="shared" si="1"/>
        <v>3.2769999999999997</v>
      </c>
    </row>
    <row r="37" spans="1:7" s="1" customFormat="1" ht="15" x14ac:dyDescent="0.3">
      <c r="A37" s="159" t="s">
        <v>19</v>
      </c>
      <c r="B37" s="51">
        <v>4</v>
      </c>
      <c r="C37" s="51">
        <f>85%*B37</f>
        <v>3.4</v>
      </c>
      <c r="D37" s="51"/>
      <c r="E37" s="51"/>
      <c r="F37" s="51"/>
      <c r="G37" s="51">
        <f t="shared" si="1"/>
        <v>0</v>
      </c>
    </row>
    <row r="38" spans="1:7" s="1" customFormat="1" ht="15" x14ac:dyDescent="0.3">
      <c r="A38" s="159" t="s">
        <v>26</v>
      </c>
      <c r="B38" s="51">
        <v>3</v>
      </c>
      <c r="C38" s="51">
        <f>100%*B38</f>
        <v>3</v>
      </c>
      <c r="D38" s="51"/>
      <c r="E38" s="51">
        <f>99.9%*C38</f>
        <v>2.9970000000000003</v>
      </c>
      <c r="F38" s="51"/>
      <c r="G38" s="51">
        <f t="shared" si="1"/>
        <v>26.973000000000003</v>
      </c>
    </row>
    <row r="39" spans="1:7" s="1" customFormat="1" ht="15" x14ac:dyDescent="0.3">
      <c r="A39" s="49" t="s">
        <v>12</v>
      </c>
      <c r="B39" s="99">
        <v>160</v>
      </c>
      <c r="C39" s="100"/>
      <c r="D39" s="52">
        <f>SUM(D32:D38)</f>
        <v>2.9980000000000002</v>
      </c>
      <c r="E39" s="52">
        <f>SUM(E32:E38)</f>
        <v>3.0100000000000002</v>
      </c>
      <c r="F39" s="52">
        <f>SUM(F32:F38)</f>
        <v>8.5559999999999992</v>
      </c>
      <c r="G39" s="52">
        <f>SUM(G32:G38)</f>
        <v>73.305999999999997</v>
      </c>
    </row>
    <row r="40" spans="1:7" s="1" customFormat="1" ht="15" x14ac:dyDescent="0.3">
      <c r="A40" s="160"/>
    </row>
    <row r="41" spans="1:7" s="1" customFormat="1" ht="15" x14ac:dyDescent="0.3">
      <c r="A41" s="102" t="s">
        <v>76</v>
      </c>
      <c r="B41" s="102"/>
      <c r="C41" s="102"/>
      <c r="D41" s="102"/>
      <c r="E41" s="102"/>
      <c r="F41" s="102"/>
      <c r="G41" s="102"/>
    </row>
    <row r="42" spans="1:7" s="1" customFormat="1" ht="30" x14ac:dyDescent="0.3">
      <c r="A42" s="95" t="s">
        <v>0</v>
      </c>
      <c r="B42" s="95" t="s">
        <v>1</v>
      </c>
      <c r="C42" s="95"/>
      <c r="D42" s="97" t="s">
        <v>2</v>
      </c>
      <c r="E42" s="97" t="s">
        <v>3</v>
      </c>
      <c r="F42" s="95" t="s">
        <v>4</v>
      </c>
      <c r="G42" s="49" t="s">
        <v>5</v>
      </c>
    </row>
    <row r="43" spans="1:7" s="1" customFormat="1" ht="15" x14ac:dyDescent="0.3">
      <c r="A43" s="95"/>
      <c r="B43" s="49" t="s">
        <v>6</v>
      </c>
      <c r="C43" s="49" t="s">
        <v>7</v>
      </c>
      <c r="D43" s="98"/>
      <c r="E43" s="98"/>
      <c r="F43" s="95"/>
      <c r="G43" s="49" t="s">
        <v>8</v>
      </c>
    </row>
    <row r="44" spans="1:7" s="1" customFormat="1" ht="30.75" customHeight="1" x14ac:dyDescent="0.3">
      <c r="A44" s="159" t="s">
        <v>42</v>
      </c>
      <c r="B44" s="51">
        <v>100</v>
      </c>
      <c r="C44" s="51">
        <f>B44*100%</f>
        <v>100</v>
      </c>
      <c r="D44" s="51">
        <f>C44*20.8%</f>
        <v>20.8</v>
      </c>
      <c r="E44" s="51">
        <f>C44*2%</f>
        <v>2</v>
      </c>
      <c r="F44" s="51">
        <f>C44*46.6%</f>
        <v>46.6</v>
      </c>
      <c r="G44" s="51">
        <f t="shared" ref="G44:G51" si="2">4*(D44+F44)+9*E44</f>
        <v>287.60000000000002</v>
      </c>
    </row>
    <row r="45" spans="1:7" s="1" customFormat="1" ht="15" x14ac:dyDescent="0.3">
      <c r="A45" s="159" t="s">
        <v>26</v>
      </c>
      <c r="B45" s="51">
        <v>8</v>
      </c>
      <c r="C45" s="51">
        <f>100%*B45</f>
        <v>8</v>
      </c>
      <c r="D45" s="51"/>
      <c r="E45" s="51">
        <f>99.9%*C45</f>
        <v>7.9920000000000009</v>
      </c>
      <c r="F45" s="51"/>
      <c r="G45" s="51">
        <f t="shared" si="2"/>
        <v>71.928000000000011</v>
      </c>
    </row>
    <row r="46" spans="1:7" s="1" customFormat="1" ht="15" x14ac:dyDescent="0.3">
      <c r="A46" s="159" t="s">
        <v>11</v>
      </c>
      <c r="B46" s="51">
        <v>2</v>
      </c>
      <c r="C46" s="51">
        <f>100%*B46</f>
        <v>2</v>
      </c>
      <c r="D46" s="51"/>
      <c r="E46" s="51"/>
      <c r="F46" s="51"/>
      <c r="G46" s="51">
        <f t="shared" si="2"/>
        <v>0</v>
      </c>
    </row>
    <row r="47" spans="1:7" s="1" customFormat="1" ht="15" x14ac:dyDescent="0.3">
      <c r="A47" s="159" t="s">
        <v>66</v>
      </c>
      <c r="B47" s="51">
        <v>0.25</v>
      </c>
      <c r="C47" s="51">
        <f>100%*B47</f>
        <v>0.25</v>
      </c>
      <c r="D47" s="51"/>
      <c r="E47" s="51"/>
      <c r="F47" s="51"/>
      <c r="G47" s="51">
        <f t="shared" si="2"/>
        <v>0</v>
      </c>
    </row>
    <row r="48" spans="1:7" s="1" customFormat="1" ht="15" x14ac:dyDescent="0.3">
      <c r="A48" s="159" t="s">
        <v>75</v>
      </c>
      <c r="B48" s="51">
        <v>0.2</v>
      </c>
      <c r="C48" s="51">
        <f>100%*B48</f>
        <v>0.2</v>
      </c>
      <c r="D48" s="51"/>
      <c r="E48" s="51"/>
      <c r="F48" s="51"/>
      <c r="G48" s="51">
        <f t="shared" si="2"/>
        <v>0</v>
      </c>
    </row>
    <row r="49" spans="1:7" s="1" customFormat="1" ht="15" x14ac:dyDescent="0.3">
      <c r="A49" s="159" t="s">
        <v>15</v>
      </c>
      <c r="B49" s="51">
        <v>20</v>
      </c>
      <c r="C49" s="51">
        <f>90%*B49</f>
        <v>18</v>
      </c>
      <c r="D49" s="51">
        <f>1.58%*C49</f>
        <v>0.28440000000000004</v>
      </c>
      <c r="E49" s="51"/>
      <c r="F49" s="51">
        <f>9.5%*C49</f>
        <v>1.71</v>
      </c>
      <c r="G49" s="51">
        <f t="shared" si="2"/>
        <v>7.9775999999999998</v>
      </c>
    </row>
    <row r="50" spans="1:7" s="1" customFormat="1" ht="15" x14ac:dyDescent="0.3">
      <c r="A50" s="159" t="s">
        <v>18</v>
      </c>
      <c r="B50" s="51">
        <v>1</v>
      </c>
      <c r="C50" s="51">
        <f>92%*B50</f>
        <v>0.92</v>
      </c>
      <c r="D50" s="51"/>
      <c r="E50" s="51"/>
      <c r="F50" s="51"/>
      <c r="G50" s="51">
        <f t="shared" si="2"/>
        <v>0</v>
      </c>
    </row>
    <row r="51" spans="1:7" s="1" customFormat="1" ht="15" x14ac:dyDescent="0.3">
      <c r="A51" s="159" t="s">
        <v>19</v>
      </c>
      <c r="B51" s="51">
        <v>8</v>
      </c>
      <c r="C51" s="51">
        <f>85%*B51</f>
        <v>6.8</v>
      </c>
      <c r="D51" s="51"/>
      <c r="E51" s="51"/>
      <c r="F51" s="51"/>
      <c r="G51" s="51">
        <f t="shared" si="2"/>
        <v>0</v>
      </c>
    </row>
    <row r="52" spans="1:7" s="1" customFormat="1" ht="15.75" customHeight="1" x14ac:dyDescent="0.3">
      <c r="A52" s="49" t="s">
        <v>12</v>
      </c>
      <c r="B52" s="99">
        <v>450</v>
      </c>
      <c r="C52" s="100"/>
      <c r="D52" s="52">
        <f>SUM(D44:D51)</f>
        <v>21.084400000000002</v>
      </c>
      <c r="E52" s="52">
        <f>SUM(E44:E51)</f>
        <v>9.9920000000000009</v>
      </c>
      <c r="F52" s="52">
        <f>SUM(F44:F51)</f>
        <v>48.31</v>
      </c>
      <c r="G52" s="52">
        <f>SUM(G44:G51)</f>
        <v>367.50560000000002</v>
      </c>
    </row>
    <row r="53" spans="1:7" s="1" customFormat="1" ht="15" x14ac:dyDescent="0.3">
      <c r="A53" s="161" t="s">
        <v>49</v>
      </c>
      <c r="B53" s="126">
        <v>250</v>
      </c>
      <c r="C53" s="126">
        <v>250</v>
      </c>
      <c r="D53" s="126">
        <f>C53*7.9%</f>
        <v>19.75</v>
      </c>
      <c r="E53" s="126">
        <f>C53*1%</f>
        <v>2.5</v>
      </c>
      <c r="F53" s="126">
        <f>C53*49.6%</f>
        <v>124</v>
      </c>
      <c r="G53" s="126">
        <f>4*(D53+F53)+9*E53</f>
        <v>597.5</v>
      </c>
    </row>
    <row r="54" spans="1:7" s="1" customFormat="1" ht="15" x14ac:dyDescent="0.3"/>
    <row r="55" spans="1:7" s="1" customFormat="1" ht="15" x14ac:dyDescent="0.3">
      <c r="A55" s="127" t="s">
        <v>105</v>
      </c>
      <c r="B55" s="127"/>
      <c r="C55" s="127"/>
      <c r="D55" s="127"/>
      <c r="E55" s="127"/>
      <c r="F55" s="127"/>
      <c r="G55" s="127"/>
    </row>
    <row r="56" spans="1:7" ht="30" x14ac:dyDescent="0.2">
      <c r="A56" s="130" t="s">
        <v>0</v>
      </c>
      <c r="B56" s="130" t="s">
        <v>1</v>
      </c>
      <c r="C56" s="130"/>
      <c r="D56" s="131" t="s">
        <v>2</v>
      </c>
      <c r="E56" s="131" t="s">
        <v>3</v>
      </c>
      <c r="F56" s="130" t="s">
        <v>4</v>
      </c>
      <c r="G56" s="132" t="s">
        <v>5</v>
      </c>
    </row>
    <row r="57" spans="1:7" s="1" customFormat="1" ht="15" x14ac:dyDescent="0.3">
      <c r="A57" s="130"/>
      <c r="B57" s="132" t="s">
        <v>6</v>
      </c>
      <c r="C57" s="132" t="s">
        <v>7</v>
      </c>
      <c r="D57" s="133"/>
      <c r="E57" s="133"/>
      <c r="F57" s="130"/>
      <c r="G57" s="132" t="s">
        <v>8</v>
      </c>
    </row>
    <row r="58" spans="1:7" s="1" customFormat="1" ht="15" x14ac:dyDescent="0.3">
      <c r="A58" s="134" t="s">
        <v>30</v>
      </c>
      <c r="B58" s="135">
        <v>120</v>
      </c>
      <c r="C58" s="135">
        <f>B58*75%</f>
        <v>90</v>
      </c>
      <c r="D58" s="135">
        <f>18.6%*C58</f>
        <v>16.740000000000002</v>
      </c>
      <c r="E58" s="135">
        <f>17.3%*C58</f>
        <v>15.570000000000002</v>
      </c>
      <c r="F58" s="135"/>
      <c r="G58" s="135">
        <f t="shared" ref="G58:G66" si="3">4*(D58+F58)+9*E58</f>
        <v>207.09000000000003</v>
      </c>
    </row>
    <row r="59" spans="1:7" s="1" customFormat="1" ht="15" x14ac:dyDescent="0.3">
      <c r="A59" s="134" t="s">
        <v>9</v>
      </c>
      <c r="B59" s="135">
        <v>10</v>
      </c>
      <c r="C59" s="135">
        <f>100%*B59</f>
        <v>10</v>
      </c>
      <c r="D59" s="135"/>
      <c r="E59" s="135">
        <f>72.57%*C59</f>
        <v>7.2569999999999988</v>
      </c>
      <c r="F59" s="135"/>
      <c r="G59" s="135">
        <f t="shared" si="3"/>
        <v>65.312999999999988</v>
      </c>
    </row>
    <row r="60" spans="1:7" s="1" customFormat="1" ht="15" x14ac:dyDescent="0.3">
      <c r="A60" s="134" t="s">
        <v>70</v>
      </c>
      <c r="B60" s="135">
        <v>5</v>
      </c>
      <c r="C60" s="135">
        <f>B60*100%</f>
        <v>5</v>
      </c>
      <c r="D60" s="135">
        <f>C60*10%</f>
        <v>0.5</v>
      </c>
      <c r="E60" s="135">
        <f>C60*1.3%</f>
        <v>6.5000000000000002E-2</v>
      </c>
      <c r="F60" s="135">
        <f>C60*69%</f>
        <v>3.4499999999999997</v>
      </c>
      <c r="G60" s="135">
        <f t="shared" si="3"/>
        <v>16.384999999999998</v>
      </c>
    </row>
    <row r="61" spans="1:7" s="1" customFormat="1" ht="15" x14ac:dyDescent="0.3">
      <c r="A61" s="134" t="s">
        <v>15</v>
      </c>
      <c r="B61" s="135">
        <v>24</v>
      </c>
      <c r="C61" s="135">
        <f>90%*B61</f>
        <v>21.6</v>
      </c>
      <c r="D61" s="135">
        <f>1.58%*C61</f>
        <v>0.34128000000000008</v>
      </c>
      <c r="E61" s="135"/>
      <c r="F61" s="135">
        <f>9.5%*C61</f>
        <v>2.052</v>
      </c>
      <c r="G61" s="135">
        <f t="shared" si="3"/>
        <v>9.5731200000000012</v>
      </c>
    </row>
    <row r="62" spans="1:7" s="1" customFormat="1" ht="15" x14ac:dyDescent="0.3">
      <c r="A62" s="134" t="s">
        <v>106</v>
      </c>
      <c r="B62" s="135">
        <v>0.5</v>
      </c>
      <c r="C62" s="135">
        <f>100%*B62</f>
        <v>0.5</v>
      </c>
      <c r="D62" s="135"/>
      <c r="E62" s="135"/>
      <c r="F62" s="135"/>
      <c r="G62" s="135">
        <f t="shared" si="3"/>
        <v>0</v>
      </c>
    </row>
    <row r="63" spans="1:7" s="1" customFormat="1" ht="15" x14ac:dyDescent="0.3">
      <c r="A63" s="134" t="s">
        <v>107</v>
      </c>
      <c r="B63" s="135">
        <v>4</v>
      </c>
      <c r="C63" s="135">
        <f>100%*B63</f>
        <v>4</v>
      </c>
      <c r="D63" s="135"/>
      <c r="E63" s="135"/>
      <c r="F63" s="135">
        <f>17.7%*C63</f>
        <v>0.70799999999999996</v>
      </c>
      <c r="G63" s="135">
        <f t="shared" si="3"/>
        <v>2.8319999999999999</v>
      </c>
    </row>
    <row r="64" spans="1:7" s="1" customFormat="1" ht="15" x14ac:dyDescent="0.3">
      <c r="A64" s="134" t="s">
        <v>19</v>
      </c>
      <c r="B64" s="135">
        <v>7</v>
      </c>
      <c r="C64" s="135">
        <f>85%*B64</f>
        <v>5.95</v>
      </c>
      <c r="D64" s="135"/>
      <c r="E64" s="135"/>
      <c r="F64" s="135"/>
      <c r="G64" s="135">
        <f t="shared" si="3"/>
        <v>0</v>
      </c>
    </row>
    <row r="65" spans="1:7" s="1" customFormat="1" ht="15" x14ac:dyDescent="0.3">
      <c r="A65" s="134" t="s">
        <v>108</v>
      </c>
      <c r="B65" s="135">
        <v>100</v>
      </c>
      <c r="C65" s="135">
        <f>90%*B65</f>
        <v>90</v>
      </c>
      <c r="D65" s="135"/>
      <c r="E65" s="135"/>
      <c r="F65" s="135"/>
      <c r="G65" s="135">
        <f t="shared" si="3"/>
        <v>0</v>
      </c>
    </row>
    <row r="66" spans="1:7" s="1" customFormat="1" ht="15" x14ac:dyDescent="0.3">
      <c r="A66" s="134" t="s">
        <v>11</v>
      </c>
      <c r="B66" s="135">
        <v>1</v>
      </c>
      <c r="C66" s="135">
        <f>100%*B66</f>
        <v>1</v>
      </c>
      <c r="D66" s="135"/>
      <c r="E66" s="135"/>
      <c r="F66" s="135"/>
      <c r="G66" s="135">
        <f t="shared" si="3"/>
        <v>0</v>
      </c>
    </row>
    <row r="67" spans="1:7" s="1" customFormat="1" ht="15" x14ac:dyDescent="0.3">
      <c r="A67" s="132" t="s">
        <v>12</v>
      </c>
      <c r="B67" s="162" t="s">
        <v>109</v>
      </c>
      <c r="C67" s="163"/>
      <c r="D67" s="139">
        <f>SUM(D58:D66)</f>
        <v>17.581280000000003</v>
      </c>
      <c r="E67" s="139">
        <f>SUM(E58:E66)</f>
        <v>22.892000000000003</v>
      </c>
      <c r="F67" s="139">
        <f>SUM(F58:F66)</f>
        <v>6.21</v>
      </c>
      <c r="G67" s="139">
        <f>SUM(G58:G66)</f>
        <v>301.19312000000002</v>
      </c>
    </row>
    <row r="68" spans="1:7" s="1" customFormat="1" ht="15" x14ac:dyDescent="0.3">
      <c r="A68" s="141"/>
      <c r="B68" s="141"/>
      <c r="C68" s="141"/>
      <c r="D68" s="142"/>
      <c r="E68" s="142"/>
      <c r="F68" s="142"/>
      <c r="G68" s="142"/>
    </row>
    <row r="69" spans="1:7" s="1" customFormat="1" ht="15" x14ac:dyDescent="0.3">
      <c r="A69" s="164" t="s">
        <v>128</v>
      </c>
      <c r="B69" s="96">
        <f>B39+B52+B53+54+200</f>
        <v>1114</v>
      </c>
      <c r="C69" s="96"/>
      <c r="D69" s="58">
        <f t="shared" ref="D69:F69" si="4">D39+D52+D53+D67</f>
        <v>61.413680000000014</v>
      </c>
      <c r="E69" s="58">
        <f t="shared" si="4"/>
        <v>38.394000000000005</v>
      </c>
      <c r="F69" s="58">
        <f t="shared" si="4"/>
        <v>187.07599999999999</v>
      </c>
      <c r="G69" s="58">
        <f>G39+G52+G53+G67</f>
        <v>1339.5047199999999</v>
      </c>
    </row>
    <row r="70" spans="1:7" s="1" customFormat="1" ht="15" x14ac:dyDescent="0.3">
      <c r="A70" s="63"/>
      <c r="B70" s="63"/>
      <c r="C70" s="63"/>
      <c r="D70" s="64"/>
      <c r="E70" s="64"/>
      <c r="F70" s="64"/>
      <c r="G70" s="64"/>
    </row>
    <row r="71" spans="1:7" s="1" customFormat="1" ht="15" x14ac:dyDescent="0.3">
      <c r="A71" s="165" t="s">
        <v>130</v>
      </c>
      <c r="B71" s="63"/>
      <c r="C71" s="63"/>
      <c r="D71" s="64"/>
      <c r="E71" s="64"/>
      <c r="F71" s="64"/>
      <c r="G71" s="64"/>
    </row>
    <row r="72" spans="1:7" s="1" customFormat="1" ht="15" x14ac:dyDescent="0.3">
      <c r="A72" s="151" t="s">
        <v>63</v>
      </c>
      <c r="B72" s="151"/>
      <c r="C72" s="151"/>
      <c r="D72" s="151"/>
      <c r="E72" s="62"/>
      <c r="F72" s="62"/>
      <c r="G72" s="62"/>
    </row>
    <row r="73" spans="1:7" s="1" customFormat="1" ht="30" x14ac:dyDescent="0.3">
      <c r="A73" s="95" t="s">
        <v>0</v>
      </c>
      <c r="B73" s="95" t="s">
        <v>1</v>
      </c>
      <c r="C73" s="95"/>
      <c r="D73" s="97" t="s">
        <v>2</v>
      </c>
      <c r="E73" s="97" t="s">
        <v>3</v>
      </c>
      <c r="F73" s="95" t="s">
        <v>4</v>
      </c>
      <c r="G73" s="49" t="s">
        <v>5</v>
      </c>
    </row>
    <row r="74" spans="1:7" s="1" customFormat="1" ht="15" x14ac:dyDescent="0.3">
      <c r="A74" s="95"/>
      <c r="B74" s="49" t="s">
        <v>6</v>
      </c>
      <c r="C74" s="49" t="s">
        <v>7</v>
      </c>
      <c r="D74" s="98"/>
      <c r="E74" s="98"/>
      <c r="F74" s="95"/>
      <c r="G74" s="49" t="s">
        <v>8</v>
      </c>
    </row>
    <row r="75" spans="1:7" s="1" customFormat="1" ht="30" x14ac:dyDescent="0.3">
      <c r="A75" s="166" t="s">
        <v>64</v>
      </c>
      <c r="B75" s="51">
        <v>280</v>
      </c>
      <c r="C75" s="51">
        <f>B75*72%</f>
        <v>201.6</v>
      </c>
      <c r="D75" s="51">
        <f>18.5%*C75</f>
        <v>37.295999999999999</v>
      </c>
      <c r="E75" s="51">
        <f>15.9%*C75</f>
        <v>32.054400000000001</v>
      </c>
      <c r="F75" s="51"/>
      <c r="G75" s="51">
        <f>4*(D75+F75)+9*E75</f>
        <v>437.67359999999996</v>
      </c>
    </row>
    <row r="76" spans="1:7" s="1" customFormat="1" ht="15" x14ac:dyDescent="0.3">
      <c r="A76" s="166" t="s">
        <v>65</v>
      </c>
      <c r="B76" s="51">
        <v>60</v>
      </c>
      <c r="C76" s="51">
        <f>100%*B76</f>
        <v>60</v>
      </c>
      <c r="D76" s="51">
        <f>2.6%*C76</f>
        <v>1.56</v>
      </c>
      <c r="E76" s="51">
        <f>20%*C76</f>
        <v>12</v>
      </c>
      <c r="F76" s="51">
        <f>3.8%*C76</f>
        <v>2.2799999999999998</v>
      </c>
      <c r="G76" s="51">
        <f>4*(D76+F76)+9*E76</f>
        <v>123.36</v>
      </c>
    </row>
    <row r="77" spans="1:7" s="1" customFormat="1" ht="15" x14ac:dyDescent="0.3">
      <c r="A77" s="166" t="s">
        <v>66</v>
      </c>
      <c r="B77" s="51">
        <v>0.1</v>
      </c>
      <c r="C77" s="51">
        <f>100%*B77</f>
        <v>0.1</v>
      </c>
      <c r="D77" s="51"/>
      <c r="E77" s="51"/>
      <c r="F77" s="51"/>
      <c r="G77" s="51">
        <f>4*(D77+F77)+9*E77</f>
        <v>0</v>
      </c>
    </row>
    <row r="78" spans="1:7" s="1" customFormat="1" ht="32.25" customHeight="1" x14ac:dyDescent="0.3">
      <c r="A78" s="166" t="s">
        <v>18</v>
      </c>
      <c r="B78" s="51">
        <v>1.5</v>
      </c>
      <c r="C78" s="51">
        <f>85%*B78</f>
        <v>1.2749999999999999</v>
      </c>
      <c r="D78" s="51"/>
      <c r="E78" s="51"/>
      <c r="F78" s="51"/>
      <c r="G78" s="51">
        <f>4*(D78+F78)+9*E78</f>
        <v>0</v>
      </c>
    </row>
    <row r="79" spans="1:7" s="1" customFormat="1" ht="38.25" customHeight="1" x14ac:dyDescent="0.3">
      <c r="A79" s="159" t="s">
        <v>11</v>
      </c>
      <c r="B79" s="51">
        <v>1.5</v>
      </c>
      <c r="C79" s="51">
        <v>1.5</v>
      </c>
      <c r="D79" s="51"/>
      <c r="E79" s="51"/>
      <c r="F79" s="51"/>
      <c r="G79" s="51">
        <v>0</v>
      </c>
    </row>
    <row r="80" spans="1:7" s="1" customFormat="1" ht="15" x14ac:dyDescent="0.3">
      <c r="A80" s="166" t="s">
        <v>67</v>
      </c>
      <c r="B80" s="51">
        <v>10</v>
      </c>
      <c r="C80" s="51">
        <f>100%*B80</f>
        <v>10</v>
      </c>
      <c r="D80" s="51">
        <f>0.5%*C80</f>
        <v>0.05</v>
      </c>
      <c r="E80" s="51">
        <f>82.5%*C80</f>
        <v>8.25</v>
      </c>
      <c r="F80" s="51">
        <f>0.8%*C80</f>
        <v>0.08</v>
      </c>
      <c r="G80" s="51">
        <f>4*(D80+F80)+9*E80</f>
        <v>74.77</v>
      </c>
    </row>
    <row r="81" spans="1:7" s="1" customFormat="1" ht="15" x14ac:dyDescent="0.3">
      <c r="A81" s="49" t="s">
        <v>12</v>
      </c>
      <c r="B81" s="99">
        <v>150</v>
      </c>
      <c r="C81" s="100"/>
      <c r="D81" s="52">
        <f>SUM(D75:D80)</f>
        <v>38.905999999999999</v>
      </c>
      <c r="E81" s="52">
        <f>SUM(E75:E80)</f>
        <v>52.304400000000001</v>
      </c>
      <c r="F81" s="52">
        <f>SUM(F75:F80)</f>
        <v>2.36</v>
      </c>
      <c r="G81" s="52">
        <f>SUM(G75:G80)</f>
        <v>635.80359999999996</v>
      </c>
    </row>
    <row r="82" spans="1:7" s="1" customFormat="1" ht="15" x14ac:dyDescent="0.3">
      <c r="A82" s="160"/>
    </row>
    <row r="83" spans="1:7" s="1" customFormat="1" ht="15" x14ac:dyDescent="0.3">
      <c r="A83" s="167" t="s">
        <v>54</v>
      </c>
      <c r="B83" s="102"/>
      <c r="C83" s="102"/>
      <c r="D83" s="102"/>
      <c r="E83" s="102"/>
      <c r="F83" s="102"/>
      <c r="G83" s="102"/>
    </row>
    <row r="84" spans="1:7" s="1" customFormat="1" ht="30" x14ac:dyDescent="0.3">
      <c r="A84" s="95" t="s">
        <v>0</v>
      </c>
      <c r="B84" s="95" t="s">
        <v>1</v>
      </c>
      <c r="C84" s="95"/>
      <c r="D84" s="97" t="s">
        <v>2</v>
      </c>
      <c r="E84" s="97" t="s">
        <v>3</v>
      </c>
      <c r="F84" s="95" t="s">
        <v>36</v>
      </c>
      <c r="G84" s="49" t="s">
        <v>5</v>
      </c>
    </row>
    <row r="85" spans="1:7" s="1" customFormat="1" ht="15" x14ac:dyDescent="0.3">
      <c r="A85" s="95"/>
      <c r="B85" s="49" t="s">
        <v>6</v>
      </c>
      <c r="C85" s="49" t="s">
        <v>7</v>
      </c>
      <c r="D85" s="98"/>
      <c r="E85" s="98"/>
      <c r="F85" s="95"/>
      <c r="G85" s="49" t="s">
        <v>8</v>
      </c>
    </row>
    <row r="86" spans="1:7" s="1" customFormat="1" ht="15" x14ac:dyDescent="0.3">
      <c r="A86" s="166" t="s">
        <v>27</v>
      </c>
      <c r="B86" s="51">
        <v>250</v>
      </c>
      <c r="C86" s="51">
        <f>72%*B86</f>
        <v>180</v>
      </c>
      <c r="D86" s="51">
        <f>2.1%*C86</f>
        <v>3.7800000000000002</v>
      </c>
      <c r="E86" s="51">
        <f>0.4%*C86</f>
        <v>0.72</v>
      </c>
      <c r="F86" s="51">
        <f>15.6%*C86</f>
        <v>28.08</v>
      </c>
      <c r="G86" s="51">
        <f>4*(D86+F86)+9*E86</f>
        <v>133.91999999999999</v>
      </c>
    </row>
    <row r="87" spans="1:7" s="1" customFormat="1" ht="15" x14ac:dyDescent="0.3">
      <c r="A87" s="166" t="s">
        <v>67</v>
      </c>
      <c r="B87" s="51">
        <v>8</v>
      </c>
      <c r="C87" s="51">
        <f>100%*B87</f>
        <v>8</v>
      </c>
      <c r="D87" s="51">
        <f>0.5%*C87</f>
        <v>0.04</v>
      </c>
      <c r="E87" s="51">
        <f>82.5%*C87</f>
        <v>6.6</v>
      </c>
      <c r="F87" s="51">
        <f>0.8%*C87</f>
        <v>6.4000000000000001E-2</v>
      </c>
      <c r="G87" s="51">
        <f>4*(D87+F87)+9*E87</f>
        <v>59.815999999999995</v>
      </c>
    </row>
    <row r="88" spans="1:7" s="1" customFormat="1" ht="18" customHeight="1" x14ac:dyDescent="0.3">
      <c r="A88" s="166" t="s">
        <v>55</v>
      </c>
      <c r="B88" s="51">
        <v>120</v>
      </c>
      <c r="C88" s="51">
        <v>120</v>
      </c>
      <c r="D88" s="51"/>
      <c r="E88" s="51"/>
      <c r="F88" s="51"/>
      <c r="G88" s="51"/>
    </row>
    <row r="89" spans="1:7" s="1" customFormat="1" ht="18" customHeight="1" x14ac:dyDescent="0.3">
      <c r="A89" s="159" t="s">
        <v>11</v>
      </c>
      <c r="B89" s="51">
        <v>2</v>
      </c>
      <c r="C89" s="51">
        <f>100%*B89</f>
        <v>2</v>
      </c>
      <c r="D89" s="51"/>
      <c r="E89" s="51"/>
      <c r="F89" s="51"/>
      <c r="G89" s="51">
        <f>4*(D89+F89)+9*E89</f>
        <v>0</v>
      </c>
    </row>
    <row r="90" spans="1:7" s="1" customFormat="1" ht="18" customHeight="1" x14ac:dyDescent="0.3">
      <c r="A90" s="49" t="s">
        <v>12</v>
      </c>
      <c r="B90" s="99">
        <v>150</v>
      </c>
      <c r="C90" s="100"/>
      <c r="D90" s="52">
        <f>SUM(D86:D89)</f>
        <v>3.8200000000000003</v>
      </c>
      <c r="E90" s="52">
        <f>SUM(E86:E89)</f>
        <v>7.3199999999999994</v>
      </c>
      <c r="F90" s="52">
        <f>SUM(F86:F89)</f>
        <v>28.143999999999998</v>
      </c>
      <c r="G90" s="52">
        <f>SUM(G86:G89)</f>
        <v>193.73599999999999</v>
      </c>
    </row>
    <row r="91" spans="1:7" s="1" customFormat="1" ht="18" customHeight="1" x14ac:dyDescent="0.3">
      <c r="A91" s="161" t="s">
        <v>49</v>
      </c>
      <c r="B91" s="126">
        <v>250</v>
      </c>
      <c r="C91" s="126">
        <v>250</v>
      </c>
      <c r="D91" s="126">
        <f>C91*7.9%</f>
        <v>19.75</v>
      </c>
      <c r="E91" s="126">
        <f>C91*1%</f>
        <v>2.5</v>
      </c>
      <c r="F91" s="126">
        <f>C91*49.6%</f>
        <v>124</v>
      </c>
      <c r="G91" s="126">
        <f>4*(D91+F91)+9*E91</f>
        <v>597.5</v>
      </c>
    </row>
    <row r="92" spans="1:7" s="1" customFormat="1" ht="22.5" customHeight="1" x14ac:dyDescent="0.3">
      <c r="A92" s="168"/>
      <c r="B92" s="46"/>
      <c r="C92" s="46"/>
      <c r="D92" s="46"/>
      <c r="E92" s="46"/>
      <c r="F92" s="46"/>
      <c r="G92" s="46"/>
    </row>
    <row r="93" spans="1:7" s="1" customFormat="1" ht="15" x14ac:dyDescent="0.3">
      <c r="A93" s="164" t="s">
        <v>131</v>
      </c>
      <c r="B93" s="96">
        <f>ორშაბათი!B17+B91+B90+B81</f>
        <v>680</v>
      </c>
      <c r="C93" s="96"/>
      <c r="D93" s="58">
        <f>ორშაბათი!D17+D91+D90+D81</f>
        <v>69.39</v>
      </c>
      <c r="E93" s="58">
        <f>ორშაბათი!E17+E91+E90+E81</f>
        <v>79.714300000000009</v>
      </c>
      <c r="F93" s="58">
        <f>ორშაბათი!F17+F91+F90+F81</f>
        <v>177.94400000000002</v>
      </c>
      <c r="G93" s="58">
        <f>G91+G90+G81</f>
        <v>1427.0396000000001</v>
      </c>
    </row>
    <row r="94" spans="1:7" s="1" customFormat="1" ht="15" x14ac:dyDescent="0.3">
      <c r="A94" s="160"/>
    </row>
    <row r="95" spans="1:7" s="1" customFormat="1" ht="15" x14ac:dyDescent="0.3">
      <c r="A95" s="160"/>
    </row>
    <row r="96" spans="1:7" s="1" customFormat="1" ht="15" x14ac:dyDescent="0.3">
      <c r="A96" s="164" t="s">
        <v>122</v>
      </c>
      <c r="B96" s="101">
        <f>B93+B69</f>
        <v>1794</v>
      </c>
      <c r="C96" s="101"/>
      <c r="D96" s="67">
        <f>D93+D69+D25</f>
        <v>139.33962000000002</v>
      </c>
      <c r="E96" s="67">
        <f>E93+E69+E25</f>
        <v>124.80690000000001</v>
      </c>
      <c r="F96" s="67">
        <f>F93+F69+F25</f>
        <v>432.87889999999999</v>
      </c>
      <c r="G96" s="67">
        <f>G93+G69+G25</f>
        <v>3132.4110799999999</v>
      </c>
    </row>
    <row r="97" spans="1:7" s="1" customFormat="1" ht="15" x14ac:dyDescent="0.3">
      <c r="A97" s="168"/>
      <c r="B97" s="46"/>
      <c r="C97" s="46"/>
      <c r="D97" s="46"/>
      <c r="E97" s="46"/>
      <c r="F97" s="46"/>
      <c r="G97" s="46"/>
    </row>
    <row r="98" spans="1:7" s="1" customFormat="1" ht="15" x14ac:dyDescent="0.3">
      <c r="A98" s="168"/>
      <c r="B98" s="46"/>
      <c r="C98" s="46"/>
      <c r="D98" s="46"/>
      <c r="E98" s="46"/>
      <c r="F98" s="46"/>
      <c r="G98" s="46"/>
    </row>
    <row r="99" spans="1:7" s="1" customFormat="1" ht="15" x14ac:dyDescent="0.3">
      <c r="A99" s="168"/>
      <c r="B99" s="46"/>
      <c r="C99" s="46"/>
      <c r="D99" s="46"/>
      <c r="E99" s="46"/>
      <c r="F99" s="46"/>
      <c r="G99" s="46"/>
    </row>
    <row r="100" spans="1:7" s="1" customFormat="1" ht="18.75" customHeight="1" x14ac:dyDescent="0.3">
      <c r="A100" s="168"/>
      <c r="B100" s="46"/>
      <c r="C100" s="46"/>
      <c r="D100" s="46"/>
      <c r="E100" s="46"/>
      <c r="F100" s="46"/>
      <c r="G100" s="46"/>
    </row>
    <row r="102" spans="1:7" s="1" customFormat="1" ht="15" hidden="1" x14ac:dyDescent="0.3">
      <c r="A102" s="168"/>
      <c r="B102" s="46"/>
      <c r="C102" s="46"/>
      <c r="D102" s="46"/>
      <c r="E102" s="46"/>
      <c r="F102" s="46"/>
      <c r="G102" s="46"/>
    </row>
    <row r="104" spans="1:7" s="1" customFormat="1" ht="15" x14ac:dyDescent="0.3">
      <c r="A104" s="168"/>
      <c r="B104" s="46"/>
      <c r="C104" s="46"/>
      <c r="D104" s="46"/>
      <c r="E104" s="46"/>
      <c r="F104" s="46"/>
      <c r="G104" s="46"/>
    </row>
    <row r="105" spans="1:7" s="1" customFormat="1" ht="15" x14ac:dyDescent="0.3">
      <c r="A105" s="168"/>
      <c r="B105" s="46"/>
      <c r="C105" s="46"/>
      <c r="D105" s="46"/>
      <c r="E105" s="46"/>
      <c r="F105" s="46"/>
      <c r="G105" s="46"/>
    </row>
    <row r="106" spans="1:7" s="1" customFormat="1" ht="15" x14ac:dyDescent="0.3">
      <c r="A106" s="168"/>
      <c r="B106" s="46"/>
      <c r="C106" s="46"/>
      <c r="D106" s="46"/>
      <c r="E106" s="46"/>
      <c r="F106" s="46"/>
      <c r="G106" s="46"/>
    </row>
    <row r="107" spans="1:7" s="1" customFormat="1" ht="15" x14ac:dyDescent="0.3">
      <c r="A107" s="168"/>
      <c r="B107" s="46"/>
      <c r="C107" s="46"/>
      <c r="D107" s="46"/>
      <c r="E107" s="46"/>
      <c r="F107" s="46"/>
      <c r="G107" s="46"/>
    </row>
  </sheetData>
  <mergeCells count="55">
    <mergeCell ref="A1:G1"/>
    <mergeCell ref="A2:G2"/>
    <mergeCell ref="B39:C39"/>
    <mergeCell ref="A41:G41"/>
    <mergeCell ref="A42:A43"/>
    <mergeCell ref="B42:C42"/>
    <mergeCell ref="D42:D43"/>
    <mergeCell ref="E42:E43"/>
    <mergeCell ref="F42:F43"/>
    <mergeCell ref="A3:G3"/>
    <mergeCell ref="A30:A31"/>
    <mergeCell ref="B30:C30"/>
    <mergeCell ref="D30:D31"/>
    <mergeCell ref="E30:E31"/>
    <mergeCell ref="F30:F31"/>
    <mergeCell ref="A29:C29"/>
    <mergeCell ref="B52:C52"/>
    <mergeCell ref="A73:A74"/>
    <mergeCell ref="B73:C73"/>
    <mergeCell ref="D73:D74"/>
    <mergeCell ref="B67:C67"/>
    <mergeCell ref="A55:G55"/>
    <mergeCell ref="A56:A57"/>
    <mergeCell ref="B56:C56"/>
    <mergeCell ref="D56:D57"/>
    <mergeCell ref="E56:E57"/>
    <mergeCell ref="F56:F57"/>
    <mergeCell ref="E73:E74"/>
    <mergeCell ref="F73:F74"/>
    <mergeCell ref="A72:D72"/>
    <mergeCell ref="B96:C96"/>
    <mergeCell ref="A83:G83"/>
    <mergeCell ref="A84:A85"/>
    <mergeCell ref="B81:C81"/>
    <mergeCell ref="B69:C69"/>
    <mergeCell ref="B90:C90"/>
    <mergeCell ref="B84:C84"/>
    <mergeCell ref="D84:D85"/>
    <mergeCell ref="F84:F85"/>
    <mergeCell ref="E84:E85"/>
    <mergeCell ref="B93:C93"/>
    <mergeCell ref="D7:D8"/>
    <mergeCell ref="E7:E8"/>
    <mergeCell ref="F7:F8"/>
    <mergeCell ref="A6:G6"/>
    <mergeCell ref="A7:A8"/>
    <mergeCell ref="B7:C7"/>
    <mergeCell ref="F19:F20"/>
    <mergeCell ref="B23:C23"/>
    <mergeCell ref="B25:C25"/>
    <mergeCell ref="B17:C17"/>
    <mergeCell ref="A19:A20"/>
    <mergeCell ref="B19:C19"/>
    <mergeCell ref="D19:D20"/>
    <mergeCell ref="E19:E20"/>
  </mergeCells>
  <pageMargins left="0.7" right="0.7" top="0.75" bottom="0.75" header="0.3" footer="0.3"/>
  <pageSetup scale="7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6"/>
  <sheetViews>
    <sheetView view="pageBreakPreview" topLeftCell="A97" zoomScale="120" zoomScaleNormal="100" zoomScaleSheetLayoutView="120" workbookViewId="0">
      <selection activeCell="A103" sqref="A103"/>
    </sheetView>
  </sheetViews>
  <sheetFormatPr defaultRowHeight="12.75" x14ac:dyDescent="0.2"/>
  <cols>
    <col min="1" max="1" width="17.140625" style="46" customWidth="1"/>
    <col min="2" max="6" width="16.140625" style="46" customWidth="1"/>
    <col min="7" max="7" width="20" style="46" customWidth="1"/>
    <col min="8" max="16384" width="9.140625" style="46"/>
  </cols>
  <sheetData>
    <row r="1" spans="1:7" ht="15" x14ac:dyDescent="0.2">
      <c r="A1" s="105" t="s">
        <v>123</v>
      </c>
      <c r="B1" s="105"/>
      <c r="C1" s="105"/>
      <c r="D1" s="105"/>
      <c r="E1" s="105"/>
      <c r="F1" s="105"/>
      <c r="G1" s="105"/>
    </row>
    <row r="2" spans="1:7" ht="77.25" customHeight="1" x14ac:dyDescent="0.2">
      <c r="A2" s="104" t="s">
        <v>127</v>
      </c>
      <c r="B2" s="104"/>
      <c r="C2" s="104"/>
      <c r="D2" s="104"/>
      <c r="E2" s="104"/>
      <c r="F2" s="104"/>
      <c r="G2" s="104"/>
    </row>
    <row r="3" spans="1:7" s="1" customFormat="1" ht="15" x14ac:dyDescent="0.3">
      <c r="A3" s="106" t="s">
        <v>81</v>
      </c>
      <c r="B3" s="106"/>
      <c r="C3" s="106"/>
      <c r="D3" s="106"/>
      <c r="E3" s="106"/>
      <c r="F3" s="106"/>
      <c r="G3" s="106"/>
    </row>
    <row r="4" spans="1:7" s="1" customFormat="1" ht="15" x14ac:dyDescent="0.3">
      <c r="A4" s="47"/>
      <c r="B4" s="47"/>
      <c r="C4" s="47"/>
      <c r="D4" s="47"/>
      <c r="E4" s="47"/>
      <c r="F4" s="47"/>
      <c r="G4" s="47"/>
    </row>
    <row r="5" spans="1:7" s="1" customFormat="1" ht="15" x14ac:dyDescent="0.3">
      <c r="A5" s="140" t="s">
        <v>119</v>
      </c>
    </row>
    <row r="6" spans="1:7" s="1" customFormat="1" ht="15" x14ac:dyDescent="0.3">
      <c r="A6" s="6" t="s">
        <v>92</v>
      </c>
    </row>
    <row r="7" spans="1:7" s="1" customFormat="1" ht="30" x14ac:dyDescent="0.3">
      <c r="A7" s="95" t="s">
        <v>0</v>
      </c>
      <c r="B7" s="95" t="s">
        <v>1</v>
      </c>
      <c r="C7" s="95"/>
      <c r="D7" s="97" t="s">
        <v>2</v>
      </c>
      <c r="E7" s="97" t="s">
        <v>3</v>
      </c>
      <c r="F7" s="95" t="s">
        <v>4</v>
      </c>
      <c r="G7" s="49" t="s">
        <v>5</v>
      </c>
    </row>
    <row r="8" spans="1:7" s="1" customFormat="1" ht="15" x14ac:dyDescent="0.3">
      <c r="A8" s="95"/>
      <c r="B8" s="49" t="s">
        <v>6</v>
      </c>
      <c r="C8" s="49" t="s">
        <v>7</v>
      </c>
      <c r="D8" s="98"/>
      <c r="E8" s="98"/>
      <c r="F8" s="95"/>
      <c r="G8" s="49" t="s">
        <v>8</v>
      </c>
    </row>
    <row r="9" spans="1:7" s="1" customFormat="1" ht="15" x14ac:dyDescent="0.3">
      <c r="A9" s="50" t="s">
        <v>80</v>
      </c>
      <c r="B9" s="51">
        <v>80</v>
      </c>
      <c r="C9" s="51">
        <f>B9*100%</f>
        <v>80</v>
      </c>
      <c r="D9" s="51">
        <f>C9*10%</f>
        <v>8</v>
      </c>
      <c r="E9" s="51">
        <f>C9*1.3%</f>
        <v>1.04</v>
      </c>
      <c r="F9" s="51">
        <f>C9*69%</f>
        <v>55.199999999999996</v>
      </c>
      <c r="G9" s="51">
        <f t="shared" ref="G9:G14" si="0">4*(D9+F9)+9*E9</f>
        <v>262.15999999999997</v>
      </c>
    </row>
    <row r="10" spans="1:7" s="1" customFormat="1" ht="15" x14ac:dyDescent="0.3">
      <c r="A10" s="50" t="s">
        <v>57</v>
      </c>
      <c r="B10" s="51">
        <v>72</v>
      </c>
      <c r="C10" s="51">
        <f>80%*B10</f>
        <v>57.6</v>
      </c>
      <c r="D10" s="51">
        <f>17.9%*C10</f>
        <v>10.3104</v>
      </c>
      <c r="E10" s="51">
        <f>14.3%*C10</f>
        <v>8.2368000000000006</v>
      </c>
      <c r="F10" s="51"/>
      <c r="G10" s="51">
        <f t="shared" si="0"/>
        <v>115.37280000000001</v>
      </c>
    </row>
    <row r="11" spans="1:7" ht="15" x14ac:dyDescent="0.2">
      <c r="A11" s="50" t="s">
        <v>14</v>
      </c>
      <c r="B11" s="51">
        <v>0.25</v>
      </c>
      <c r="C11" s="51">
        <f>B11*48</f>
        <v>12</v>
      </c>
      <c r="D11" s="51">
        <f>12.7%*C11</f>
        <v>1.524</v>
      </c>
      <c r="E11" s="51">
        <f>11.5%*C11</f>
        <v>1.3800000000000001</v>
      </c>
      <c r="F11" s="51"/>
      <c r="G11" s="51">
        <f t="shared" si="0"/>
        <v>18.516000000000002</v>
      </c>
    </row>
    <row r="12" spans="1:7" ht="15" x14ac:dyDescent="0.2">
      <c r="A12" s="50" t="s">
        <v>44</v>
      </c>
      <c r="B12" s="51">
        <v>1</v>
      </c>
      <c r="C12" s="51">
        <f>100%*B12</f>
        <v>1</v>
      </c>
      <c r="D12" s="51"/>
      <c r="E12" s="51"/>
      <c r="F12" s="51"/>
      <c r="G12" s="51">
        <f t="shared" si="0"/>
        <v>0</v>
      </c>
    </row>
    <row r="13" spans="1:7" ht="15" x14ac:dyDescent="0.2">
      <c r="A13" s="50" t="s">
        <v>93</v>
      </c>
      <c r="B13" s="51">
        <v>3</v>
      </c>
      <c r="C13" s="51">
        <f>100%*B13</f>
        <v>3</v>
      </c>
      <c r="D13" s="51"/>
      <c r="E13" s="51">
        <f>72.57%*C13</f>
        <v>2.1770999999999998</v>
      </c>
      <c r="F13" s="51"/>
      <c r="G13" s="51">
        <f t="shared" si="0"/>
        <v>19.593899999999998</v>
      </c>
    </row>
    <row r="14" spans="1:7" ht="15" x14ac:dyDescent="0.2">
      <c r="A14" s="50" t="s">
        <v>11</v>
      </c>
      <c r="B14" s="51">
        <v>1</v>
      </c>
      <c r="C14" s="51">
        <f>100%*B14</f>
        <v>1</v>
      </c>
      <c r="D14" s="51"/>
      <c r="E14" s="51"/>
      <c r="F14" s="51"/>
      <c r="G14" s="51">
        <f t="shared" si="0"/>
        <v>0</v>
      </c>
    </row>
    <row r="15" spans="1:7" s="1" customFormat="1" ht="15" x14ac:dyDescent="0.3">
      <c r="A15" s="49" t="s">
        <v>12</v>
      </c>
      <c r="B15" s="99">
        <v>160</v>
      </c>
      <c r="C15" s="100"/>
      <c r="D15" s="52">
        <f>SUM(D9:D14)</f>
        <v>19.834400000000002</v>
      </c>
      <c r="E15" s="52">
        <f>SUM(E9:E14)</f>
        <v>12.833900000000002</v>
      </c>
      <c r="F15" s="52">
        <f>SUM(F9:F14)</f>
        <v>55.199999999999996</v>
      </c>
      <c r="G15" s="52">
        <f>SUM(G9:G14)</f>
        <v>415.64269999999999</v>
      </c>
    </row>
    <row r="16" spans="1:7" s="1" customFormat="1" ht="15" x14ac:dyDescent="0.3">
      <c r="A16" s="141"/>
      <c r="B16" s="141"/>
      <c r="C16" s="141"/>
      <c r="D16" s="142"/>
      <c r="E16" s="142"/>
      <c r="F16" s="142"/>
      <c r="G16" s="142"/>
    </row>
    <row r="17" spans="1:7" s="1" customFormat="1" ht="15" x14ac:dyDescent="0.3">
      <c r="A17" s="143" t="s">
        <v>46</v>
      </c>
      <c r="B17" s="143"/>
      <c r="C17" s="143"/>
      <c r="D17" s="143"/>
      <c r="E17" s="143"/>
      <c r="F17" s="143"/>
      <c r="G17" s="143"/>
    </row>
    <row r="18" spans="1:7" s="1" customFormat="1" ht="30" x14ac:dyDescent="0.3">
      <c r="A18" s="95" t="s">
        <v>0</v>
      </c>
      <c r="B18" s="95" t="s">
        <v>1</v>
      </c>
      <c r="C18" s="95"/>
      <c r="D18" s="97" t="s">
        <v>2</v>
      </c>
      <c r="E18" s="97" t="s">
        <v>3</v>
      </c>
      <c r="F18" s="95" t="s">
        <v>36</v>
      </c>
      <c r="G18" s="49" t="s">
        <v>5</v>
      </c>
    </row>
    <row r="19" spans="1:7" s="1" customFormat="1" ht="15" x14ac:dyDescent="0.3">
      <c r="A19" s="95"/>
      <c r="B19" s="49" t="s">
        <v>6</v>
      </c>
      <c r="C19" s="49" t="s">
        <v>7</v>
      </c>
      <c r="D19" s="98"/>
      <c r="E19" s="98"/>
      <c r="F19" s="95"/>
      <c r="G19" s="49" t="s">
        <v>8</v>
      </c>
    </row>
    <row r="20" spans="1:7" s="1" customFormat="1" ht="15" x14ac:dyDescent="0.3">
      <c r="A20" s="110" t="s">
        <v>47</v>
      </c>
      <c r="B20" s="144">
        <v>5</v>
      </c>
      <c r="C20" s="144">
        <f>100%*B20</f>
        <v>5</v>
      </c>
      <c r="D20" s="144">
        <f>20%*C20</f>
        <v>1</v>
      </c>
      <c r="E20" s="144">
        <f>13%*C20</f>
        <v>0.65</v>
      </c>
      <c r="F20" s="144">
        <f>26.6%*C20</f>
        <v>1.33</v>
      </c>
      <c r="G20" s="144">
        <f>4*(D20+F20)+9*E20</f>
        <v>15.170000000000002</v>
      </c>
    </row>
    <row r="21" spans="1:7" s="1" customFormat="1" ht="15" x14ac:dyDescent="0.3">
      <c r="A21" s="110" t="s">
        <v>48</v>
      </c>
      <c r="B21" s="144">
        <v>50</v>
      </c>
      <c r="C21" s="144">
        <f>100%*B21</f>
        <v>50</v>
      </c>
      <c r="D21" s="144">
        <f>2.8%*C21</f>
        <v>1.4</v>
      </c>
      <c r="E21" s="144">
        <f>3.2%*C21</f>
        <v>1.6</v>
      </c>
      <c r="F21" s="144">
        <f>4.7%*C21</f>
        <v>2.35</v>
      </c>
      <c r="G21" s="144">
        <f>4*(D21+F21)+9*E21</f>
        <v>29.4</v>
      </c>
    </row>
    <row r="22" spans="1:7" s="1" customFormat="1" ht="15" x14ac:dyDescent="0.3">
      <c r="A22" s="50" t="s">
        <v>10</v>
      </c>
      <c r="B22" s="144">
        <v>10</v>
      </c>
      <c r="C22" s="144">
        <f>100%*B22</f>
        <v>10</v>
      </c>
      <c r="D22" s="144"/>
      <c r="E22" s="144"/>
      <c r="F22" s="144">
        <f>99%*C22</f>
        <v>9.9</v>
      </c>
      <c r="G22" s="144">
        <f>4*(D22+F22)+9*E22</f>
        <v>39.6</v>
      </c>
    </row>
    <row r="23" spans="1:7" s="1" customFormat="1" ht="15" x14ac:dyDescent="0.3">
      <c r="A23" s="49" t="s">
        <v>12</v>
      </c>
      <c r="B23" s="99">
        <v>20</v>
      </c>
      <c r="C23" s="100"/>
      <c r="D23" s="145">
        <f>SUM(D20:D22)</f>
        <v>2.4</v>
      </c>
      <c r="E23" s="145">
        <f>SUM(E20:E22)</f>
        <v>2.25</v>
      </c>
      <c r="F23" s="145">
        <f>SUM(F20:F22)</f>
        <v>13.58</v>
      </c>
      <c r="G23" s="145">
        <f>SUM(G20:G22)</f>
        <v>84.17</v>
      </c>
    </row>
    <row r="24" spans="1:7" s="1" customFormat="1" ht="15" x14ac:dyDescent="0.3">
      <c r="A24" s="8"/>
      <c r="B24" s="8"/>
      <c r="C24" s="8"/>
      <c r="D24" s="8"/>
      <c r="E24" s="8"/>
      <c r="F24" s="8"/>
      <c r="G24" s="8"/>
    </row>
    <row r="25" spans="1:7" s="1" customFormat="1" ht="15" x14ac:dyDescent="0.3">
      <c r="A25" s="49"/>
      <c r="B25" s="53"/>
      <c r="C25" s="54"/>
      <c r="D25" s="52"/>
      <c r="E25" s="52"/>
      <c r="F25" s="52"/>
      <c r="G25" s="52"/>
    </row>
    <row r="26" spans="1:7" s="1" customFormat="1" ht="15" x14ac:dyDescent="0.3">
      <c r="A26" s="114" t="s">
        <v>120</v>
      </c>
      <c r="B26" s="74">
        <f>B23+B15</f>
        <v>180</v>
      </c>
      <c r="C26" s="74"/>
      <c r="D26" s="45">
        <f>D23+D15</f>
        <v>22.234400000000001</v>
      </c>
      <c r="E26" s="45">
        <f t="shared" ref="E26:G26" si="1">E23+E15</f>
        <v>15.083900000000002</v>
      </c>
      <c r="F26" s="45">
        <f t="shared" si="1"/>
        <v>68.78</v>
      </c>
      <c r="G26" s="45">
        <f t="shared" si="1"/>
        <v>499.81270000000001</v>
      </c>
    </row>
    <row r="27" spans="1:7" s="6" customFormat="1" ht="15" x14ac:dyDescent="0.3">
      <c r="A27" s="8"/>
      <c r="B27" s="8"/>
      <c r="C27" s="8"/>
      <c r="D27" s="8"/>
      <c r="E27" s="8"/>
      <c r="F27" s="8"/>
      <c r="G27" s="8"/>
    </row>
    <row r="28" spans="1:7" s="1" customFormat="1" ht="15" x14ac:dyDescent="0.3">
      <c r="A28" s="8"/>
      <c r="B28" s="8"/>
      <c r="C28" s="8"/>
      <c r="D28" s="8"/>
      <c r="E28" s="8"/>
      <c r="F28" s="8"/>
      <c r="G28" s="8"/>
    </row>
    <row r="29" spans="1:7" s="1" customFormat="1" ht="15" x14ac:dyDescent="0.3">
      <c r="A29" s="114" t="s">
        <v>132</v>
      </c>
      <c r="B29" s="146"/>
      <c r="C29" s="146"/>
      <c r="D29" s="146"/>
      <c r="E29" s="146"/>
      <c r="F29" s="146"/>
      <c r="G29" s="146"/>
    </row>
    <row r="30" spans="1:7" s="1" customFormat="1" ht="17.25" customHeight="1" x14ac:dyDescent="0.3">
      <c r="A30" s="102" t="s">
        <v>82</v>
      </c>
      <c r="B30" s="102"/>
      <c r="C30" s="102"/>
      <c r="D30" s="102"/>
      <c r="E30" s="102"/>
      <c r="F30" s="102"/>
      <c r="G30" s="102"/>
    </row>
    <row r="31" spans="1:7" s="1" customFormat="1" ht="30" x14ac:dyDescent="0.3">
      <c r="A31" s="95" t="s">
        <v>0</v>
      </c>
      <c r="B31" s="95" t="s">
        <v>1</v>
      </c>
      <c r="C31" s="95"/>
      <c r="D31" s="97" t="s">
        <v>2</v>
      </c>
      <c r="E31" s="97" t="s">
        <v>3</v>
      </c>
      <c r="F31" s="95" t="s">
        <v>36</v>
      </c>
      <c r="G31" s="49" t="s">
        <v>5</v>
      </c>
    </row>
    <row r="32" spans="1:7" s="1" customFormat="1" ht="15" x14ac:dyDescent="0.3">
      <c r="A32" s="95"/>
      <c r="B32" s="49" t="s">
        <v>6</v>
      </c>
      <c r="C32" s="49" t="s">
        <v>7</v>
      </c>
      <c r="D32" s="98"/>
      <c r="E32" s="98"/>
      <c r="F32" s="95"/>
      <c r="G32" s="49" t="s">
        <v>8</v>
      </c>
    </row>
    <row r="33" spans="1:7" s="1" customFormat="1" ht="15" x14ac:dyDescent="0.3">
      <c r="A33" s="50" t="s">
        <v>30</v>
      </c>
      <c r="B33" s="51">
        <v>170</v>
      </c>
      <c r="C33" s="51">
        <f>B33*75%</f>
        <v>127.5</v>
      </c>
      <c r="D33" s="51">
        <f>18.6%*C33</f>
        <v>23.715000000000003</v>
      </c>
      <c r="E33" s="51">
        <f>17.3%*C33</f>
        <v>22.057500000000001</v>
      </c>
      <c r="F33" s="51"/>
      <c r="G33" s="51">
        <f t="shared" ref="G33:G38" si="2">4*(D33+F33)+9*E33</f>
        <v>293.37750000000005</v>
      </c>
    </row>
    <row r="34" spans="1:7" s="1" customFormat="1" ht="15" x14ac:dyDescent="0.3">
      <c r="A34" s="56" t="s">
        <v>83</v>
      </c>
      <c r="B34" s="51">
        <v>30</v>
      </c>
      <c r="C34" s="51">
        <f>100%*B34</f>
        <v>30</v>
      </c>
      <c r="D34" s="51">
        <f>1.6%*C34</f>
        <v>0.48</v>
      </c>
      <c r="E34" s="51"/>
      <c r="F34" s="51">
        <f>40%*C34</f>
        <v>12</v>
      </c>
      <c r="G34" s="51">
        <f t="shared" si="2"/>
        <v>49.92</v>
      </c>
    </row>
    <row r="35" spans="1:7" s="1" customFormat="1" ht="15" x14ac:dyDescent="0.3">
      <c r="A35" s="56" t="s">
        <v>51</v>
      </c>
      <c r="B35" s="51">
        <v>5</v>
      </c>
      <c r="C35" s="51">
        <f>100%*B35</f>
        <v>5</v>
      </c>
      <c r="D35" s="51"/>
      <c r="E35" s="51"/>
      <c r="F35" s="51">
        <f>17.7%*C35</f>
        <v>0.88500000000000001</v>
      </c>
      <c r="G35" s="51">
        <f t="shared" si="2"/>
        <v>3.54</v>
      </c>
    </row>
    <row r="36" spans="1:7" s="1" customFormat="1" ht="15" x14ac:dyDescent="0.3">
      <c r="A36" s="50" t="s">
        <v>15</v>
      </c>
      <c r="B36" s="51">
        <v>24</v>
      </c>
      <c r="C36" s="51">
        <f>90%*B36</f>
        <v>21.6</v>
      </c>
      <c r="D36" s="51">
        <f>1.58%*C36</f>
        <v>0.34128000000000008</v>
      </c>
      <c r="E36" s="51"/>
      <c r="F36" s="51">
        <f>9.5%*C36</f>
        <v>2.052</v>
      </c>
      <c r="G36" s="51">
        <f t="shared" si="2"/>
        <v>9.5731200000000012</v>
      </c>
    </row>
    <row r="37" spans="1:7" s="1" customFormat="1" ht="15" x14ac:dyDescent="0.3">
      <c r="A37" s="50" t="s">
        <v>11</v>
      </c>
      <c r="B37" s="51">
        <v>1</v>
      </c>
      <c r="C37" s="51">
        <f>100%*B37</f>
        <v>1</v>
      </c>
      <c r="D37" s="51"/>
      <c r="E37" s="51"/>
      <c r="F37" s="51"/>
      <c r="G37" s="51">
        <f t="shared" si="2"/>
        <v>0</v>
      </c>
    </row>
    <row r="38" spans="1:7" s="1" customFormat="1" ht="15" x14ac:dyDescent="0.3">
      <c r="A38" s="56" t="s">
        <v>18</v>
      </c>
      <c r="B38" s="51">
        <v>1</v>
      </c>
      <c r="C38" s="51">
        <f>92%*B38</f>
        <v>0.92</v>
      </c>
      <c r="D38" s="51"/>
      <c r="E38" s="51"/>
      <c r="F38" s="51"/>
      <c r="G38" s="51">
        <f t="shared" si="2"/>
        <v>0</v>
      </c>
    </row>
    <row r="39" spans="1:7" s="1" customFormat="1" ht="15" x14ac:dyDescent="0.3">
      <c r="A39" s="49" t="s">
        <v>12</v>
      </c>
      <c r="B39" s="119">
        <v>100</v>
      </c>
      <c r="C39" s="120"/>
      <c r="D39" s="52">
        <f>SUM(D33:D38)</f>
        <v>24.536280000000005</v>
      </c>
      <c r="E39" s="52">
        <f>SUM(E33:E38)</f>
        <v>22.057500000000001</v>
      </c>
      <c r="F39" s="52">
        <f>SUM(F33:F38)</f>
        <v>14.936999999999999</v>
      </c>
      <c r="G39" s="52">
        <f>SUM(G33:G38)</f>
        <v>356.41062000000011</v>
      </c>
    </row>
    <row r="40" spans="1:7" s="1" customFormat="1" ht="15" x14ac:dyDescent="0.3"/>
    <row r="41" spans="1:7" s="1" customFormat="1" ht="15" x14ac:dyDescent="0.3">
      <c r="A41" s="102" t="s">
        <v>88</v>
      </c>
      <c r="B41" s="102"/>
      <c r="C41" s="102"/>
      <c r="D41" s="102"/>
      <c r="E41" s="102"/>
      <c r="F41" s="102"/>
      <c r="G41" s="102"/>
    </row>
    <row r="42" spans="1:7" s="1" customFormat="1" ht="30" x14ac:dyDescent="0.3">
      <c r="A42" s="95" t="s">
        <v>0</v>
      </c>
      <c r="B42" s="95" t="s">
        <v>1</v>
      </c>
      <c r="C42" s="95"/>
      <c r="D42" s="97" t="s">
        <v>2</v>
      </c>
      <c r="E42" s="97" t="s">
        <v>3</v>
      </c>
      <c r="F42" s="95" t="s">
        <v>36</v>
      </c>
      <c r="G42" s="49" t="s">
        <v>5</v>
      </c>
    </row>
    <row r="43" spans="1:7" s="1" customFormat="1" ht="15" x14ac:dyDescent="0.3">
      <c r="A43" s="95"/>
      <c r="B43" s="49" t="s">
        <v>6</v>
      </c>
      <c r="C43" s="49" t="s">
        <v>7</v>
      </c>
      <c r="D43" s="98"/>
      <c r="E43" s="98"/>
      <c r="F43" s="95"/>
      <c r="G43" s="49" t="s">
        <v>8</v>
      </c>
    </row>
    <row r="44" spans="1:7" s="1" customFormat="1" ht="15" x14ac:dyDescent="0.3">
      <c r="A44" s="50" t="s">
        <v>21</v>
      </c>
      <c r="B44" s="51">
        <v>350</v>
      </c>
      <c r="C44" s="51">
        <f>72%*B44</f>
        <v>252</v>
      </c>
      <c r="D44" s="51">
        <f>2.1%*C44</f>
        <v>5.2920000000000007</v>
      </c>
      <c r="E44" s="51">
        <f>0.4%*C44</f>
        <v>1.008</v>
      </c>
      <c r="F44" s="51">
        <f>15.6%*C44</f>
        <v>39.311999999999998</v>
      </c>
      <c r="G44" s="51">
        <f>4*(D44+F44)+9*E44</f>
        <v>187.488</v>
      </c>
    </row>
    <row r="45" spans="1:7" s="1" customFormat="1" ht="15" x14ac:dyDescent="0.3">
      <c r="A45" s="50" t="s">
        <v>26</v>
      </c>
      <c r="B45" s="51">
        <v>8</v>
      </c>
      <c r="C45" s="51">
        <f>100%*B45</f>
        <v>8</v>
      </c>
      <c r="D45" s="51"/>
      <c r="E45" s="51">
        <f>99.9%*C45</f>
        <v>7.9920000000000009</v>
      </c>
      <c r="F45" s="51"/>
      <c r="G45" s="51">
        <f>4*(D45+F45)+9*E45</f>
        <v>71.928000000000011</v>
      </c>
    </row>
    <row r="46" spans="1:7" s="1" customFormat="1" ht="15" x14ac:dyDescent="0.3">
      <c r="A46" s="50" t="s">
        <v>11</v>
      </c>
      <c r="B46" s="51">
        <v>2</v>
      </c>
      <c r="C46" s="51">
        <f>100%*B46</f>
        <v>2</v>
      </c>
      <c r="D46" s="51"/>
      <c r="E46" s="51"/>
      <c r="F46" s="51"/>
      <c r="G46" s="51">
        <f>4*(D46+F46)+9*E46</f>
        <v>0</v>
      </c>
    </row>
    <row r="47" spans="1:7" s="1" customFormat="1" ht="15" x14ac:dyDescent="0.3">
      <c r="A47" s="49" t="s">
        <v>12</v>
      </c>
      <c r="B47" s="99">
        <v>170</v>
      </c>
      <c r="C47" s="100"/>
      <c r="D47" s="52">
        <f>SUM(D44:D46)</f>
        <v>5.2920000000000007</v>
      </c>
      <c r="E47" s="52">
        <f>SUM(E44:E46)</f>
        <v>9</v>
      </c>
      <c r="F47" s="52">
        <f>SUM(F44:F46)</f>
        <v>39.311999999999998</v>
      </c>
      <c r="G47" s="52">
        <f>SUM(G44:G46)</f>
        <v>259.416</v>
      </c>
    </row>
    <row r="48" spans="1:7" s="1" customFormat="1" ht="15" x14ac:dyDescent="0.3">
      <c r="A48" s="147" t="s">
        <v>49</v>
      </c>
      <c r="B48" s="126">
        <v>250</v>
      </c>
      <c r="C48" s="126">
        <v>250</v>
      </c>
      <c r="D48" s="126">
        <f>C48*7.9%</f>
        <v>19.75</v>
      </c>
      <c r="E48" s="126">
        <f>C48*1%</f>
        <v>2.5</v>
      </c>
      <c r="F48" s="126">
        <f>C48*49.6%</f>
        <v>124</v>
      </c>
      <c r="G48" s="126">
        <f>4*(D48+F48)+9*E48</f>
        <v>597.5</v>
      </c>
    </row>
    <row r="49" spans="1:7" s="1" customFormat="1" ht="15" x14ac:dyDescent="0.3">
      <c r="A49" s="148"/>
      <c r="B49" s="149"/>
      <c r="C49" s="149"/>
      <c r="D49" s="149"/>
      <c r="E49" s="149"/>
      <c r="F49" s="149"/>
      <c r="G49" s="149"/>
    </row>
    <row r="50" spans="1:7" s="1" customFormat="1" ht="15" x14ac:dyDescent="0.3">
      <c r="A50" s="148"/>
      <c r="B50" s="149"/>
      <c r="C50" s="149"/>
      <c r="D50" s="149"/>
      <c r="E50" s="149"/>
      <c r="F50" s="149"/>
      <c r="G50" s="149"/>
    </row>
    <row r="51" spans="1:7" s="1" customFormat="1" ht="15" x14ac:dyDescent="0.3">
      <c r="A51" s="62" t="s">
        <v>85</v>
      </c>
      <c r="B51" s="62"/>
      <c r="C51" s="62"/>
      <c r="D51" s="62"/>
      <c r="E51" s="62"/>
      <c r="F51" s="62"/>
      <c r="G51" s="62"/>
    </row>
    <row r="52" spans="1:7" s="1" customFormat="1" ht="30" x14ac:dyDescent="0.3">
      <c r="A52" s="95" t="s">
        <v>0</v>
      </c>
      <c r="B52" s="95" t="s">
        <v>1</v>
      </c>
      <c r="C52" s="95"/>
      <c r="D52" s="97" t="s">
        <v>2</v>
      </c>
      <c r="E52" s="97" t="s">
        <v>3</v>
      </c>
      <c r="F52" s="95" t="s">
        <v>4</v>
      </c>
      <c r="G52" s="49" t="s">
        <v>5</v>
      </c>
    </row>
    <row r="53" spans="1:7" s="1" customFormat="1" ht="15" x14ac:dyDescent="0.3">
      <c r="A53" s="95"/>
      <c r="B53" s="49" t="s">
        <v>6</v>
      </c>
      <c r="C53" s="49" t="s">
        <v>7</v>
      </c>
      <c r="D53" s="98"/>
      <c r="E53" s="98"/>
      <c r="F53" s="95"/>
      <c r="G53" s="49" t="s">
        <v>8</v>
      </c>
    </row>
    <row r="54" spans="1:7" s="1" customFormat="1" ht="15" x14ac:dyDescent="0.3">
      <c r="A54" s="50" t="s">
        <v>23</v>
      </c>
      <c r="B54" s="51">
        <v>16</v>
      </c>
      <c r="C54" s="51">
        <f>80%*B54</f>
        <v>12.8</v>
      </c>
      <c r="D54" s="51">
        <f>1.77%*C54</f>
        <v>0.22656000000000001</v>
      </c>
      <c r="E54" s="51"/>
      <c r="F54" s="51">
        <f>11%*C54</f>
        <v>1.4080000000000001</v>
      </c>
      <c r="G54" s="51">
        <f t="shared" ref="G54:G58" si="3">4*(D54+F54)+9*E54</f>
        <v>6.5382400000000009</v>
      </c>
    </row>
    <row r="55" spans="1:7" s="1" customFormat="1" ht="15" x14ac:dyDescent="0.3">
      <c r="A55" s="50" t="s">
        <v>32</v>
      </c>
      <c r="B55" s="51">
        <v>27</v>
      </c>
      <c r="C55" s="51">
        <f>90%*B55</f>
        <v>24.3</v>
      </c>
      <c r="D55" s="51">
        <f>1.1%*C55</f>
        <v>0.26730000000000004</v>
      </c>
      <c r="E55" s="51">
        <f>0.2%*C55</f>
        <v>4.8600000000000004E-2</v>
      </c>
      <c r="F55" s="51">
        <f>3.8%*C55</f>
        <v>0.9234</v>
      </c>
      <c r="G55" s="51">
        <f t="shared" si="3"/>
        <v>5.2002000000000006</v>
      </c>
    </row>
    <row r="56" spans="1:7" s="1" customFormat="1" ht="15" x14ac:dyDescent="0.3">
      <c r="A56" s="50" t="s">
        <v>84</v>
      </c>
      <c r="B56" s="51">
        <v>28</v>
      </c>
      <c r="C56" s="51">
        <f>90%*B56</f>
        <v>25.2</v>
      </c>
      <c r="D56" s="51">
        <f>0.8%*C56</f>
        <v>0.2016</v>
      </c>
      <c r="E56" s="51"/>
      <c r="F56" s="51">
        <f>2.6%*C56</f>
        <v>0.6552</v>
      </c>
      <c r="G56" s="51">
        <f t="shared" si="3"/>
        <v>3.4272</v>
      </c>
    </row>
    <row r="57" spans="1:7" s="1" customFormat="1" ht="15" x14ac:dyDescent="0.3">
      <c r="A57" s="50" t="s">
        <v>74</v>
      </c>
      <c r="B57" s="51">
        <v>17</v>
      </c>
      <c r="C57" s="51">
        <f>75%*B57</f>
        <v>12.75</v>
      </c>
      <c r="D57" s="51">
        <f>1.87%*C57</f>
        <v>0.23842500000000003</v>
      </c>
      <c r="E57" s="51"/>
      <c r="F57" s="51">
        <f>4.16%*C57</f>
        <v>0.53039999999999998</v>
      </c>
      <c r="G57" s="51">
        <f t="shared" si="3"/>
        <v>3.0752999999999999</v>
      </c>
    </row>
    <row r="58" spans="1:7" s="1" customFormat="1" ht="15" x14ac:dyDescent="0.3">
      <c r="A58" s="50" t="s">
        <v>11</v>
      </c>
      <c r="B58" s="51">
        <v>0.5</v>
      </c>
      <c r="C58" s="51">
        <f>100%*B58</f>
        <v>0.5</v>
      </c>
      <c r="D58" s="51"/>
      <c r="E58" s="51"/>
      <c r="F58" s="51"/>
      <c r="G58" s="51">
        <f t="shared" si="3"/>
        <v>0</v>
      </c>
    </row>
    <row r="59" spans="1:7" s="1" customFormat="1" ht="15" x14ac:dyDescent="0.3">
      <c r="A59" s="50" t="s">
        <v>17</v>
      </c>
      <c r="B59" s="51">
        <v>15</v>
      </c>
      <c r="C59" s="51">
        <f>100%*B59</f>
        <v>15</v>
      </c>
      <c r="D59" s="51">
        <f>2.6%*C59</f>
        <v>0.39</v>
      </c>
      <c r="E59" s="51">
        <f>20%*C59</f>
        <v>3</v>
      </c>
      <c r="F59" s="51">
        <f>3.8%*C59</f>
        <v>0.56999999999999995</v>
      </c>
      <c r="G59" s="51">
        <f>4*(D59+F59)+9*E59</f>
        <v>30.84</v>
      </c>
    </row>
    <row r="60" spans="1:7" s="1" customFormat="1" ht="15" x14ac:dyDescent="0.3">
      <c r="A60" s="50" t="s">
        <v>19</v>
      </c>
      <c r="B60" s="51">
        <v>6</v>
      </c>
      <c r="C60" s="51">
        <f>85%*B60</f>
        <v>5.0999999999999996</v>
      </c>
      <c r="D60" s="51"/>
      <c r="E60" s="51"/>
      <c r="F60" s="51"/>
      <c r="G60" s="51">
        <f t="shared" ref="G60" si="4">4*(D60+F60)+9*E60</f>
        <v>0</v>
      </c>
    </row>
    <row r="61" spans="1:7" s="1" customFormat="1" ht="15" x14ac:dyDescent="0.3">
      <c r="A61" s="49" t="s">
        <v>12</v>
      </c>
      <c r="B61" s="99">
        <v>90</v>
      </c>
      <c r="C61" s="100"/>
      <c r="D61" s="52">
        <f>SUM(D54:D60)</f>
        <v>1.3238850000000002</v>
      </c>
      <c r="E61" s="52">
        <f>SUM(E54:E60)</f>
        <v>3.0486</v>
      </c>
      <c r="F61" s="52">
        <f>SUM(F54:F60)</f>
        <v>4.0870000000000006</v>
      </c>
      <c r="G61" s="52">
        <f>SUM(G54:G60)</f>
        <v>49.080939999999998</v>
      </c>
    </row>
    <row r="62" spans="1:7" s="1" customFormat="1" ht="15" x14ac:dyDescent="0.3">
      <c r="A62" s="148"/>
      <c r="B62" s="149"/>
      <c r="C62" s="149"/>
      <c r="D62" s="149"/>
      <c r="E62" s="149"/>
      <c r="F62" s="149"/>
      <c r="G62" s="149"/>
    </row>
    <row r="63" spans="1:7" s="1" customFormat="1" ht="15" x14ac:dyDescent="0.3">
      <c r="A63" s="102" t="s">
        <v>46</v>
      </c>
      <c r="B63" s="102"/>
      <c r="C63" s="102"/>
      <c r="D63" s="102"/>
      <c r="E63" s="102"/>
      <c r="F63" s="102"/>
      <c r="G63" s="102"/>
    </row>
    <row r="64" spans="1:7" s="1" customFormat="1" ht="30" x14ac:dyDescent="0.3">
      <c r="A64" s="97" t="s">
        <v>0</v>
      </c>
      <c r="B64" s="99" t="s">
        <v>1</v>
      </c>
      <c r="C64" s="100"/>
      <c r="D64" s="97" t="s">
        <v>2</v>
      </c>
      <c r="E64" s="97" t="s">
        <v>3</v>
      </c>
      <c r="F64" s="97" t="s">
        <v>36</v>
      </c>
      <c r="G64" s="49" t="s">
        <v>5</v>
      </c>
    </row>
    <row r="65" spans="1:7" s="1" customFormat="1" ht="15" x14ac:dyDescent="0.3">
      <c r="A65" s="98"/>
      <c r="B65" s="49" t="s">
        <v>6</v>
      </c>
      <c r="C65" s="49" t="s">
        <v>7</v>
      </c>
      <c r="D65" s="98"/>
      <c r="E65" s="98"/>
      <c r="F65" s="98"/>
      <c r="G65" s="49" t="s">
        <v>8</v>
      </c>
    </row>
    <row r="66" spans="1:7" s="1" customFormat="1" ht="15" x14ac:dyDescent="0.3">
      <c r="A66" s="56" t="s">
        <v>47</v>
      </c>
      <c r="B66" s="51">
        <v>5</v>
      </c>
      <c r="C66" s="51">
        <f>100%*B66</f>
        <v>5</v>
      </c>
      <c r="D66" s="51">
        <f>20%*C66</f>
        <v>1</v>
      </c>
      <c r="E66" s="51">
        <f>13%*C66</f>
        <v>0.65</v>
      </c>
      <c r="F66" s="51">
        <f>26.6%*C66</f>
        <v>1.33</v>
      </c>
      <c r="G66" s="51">
        <f>4*(D66+F66)+9*E66</f>
        <v>15.170000000000002</v>
      </c>
    </row>
    <row r="67" spans="1:7" s="1" customFormat="1" ht="15" x14ac:dyDescent="0.3">
      <c r="A67" s="56" t="s">
        <v>48</v>
      </c>
      <c r="B67" s="51">
        <v>50</v>
      </c>
      <c r="C67" s="51">
        <f>100%*B67</f>
        <v>50</v>
      </c>
      <c r="D67" s="51">
        <f>2.8%*C67</f>
        <v>1.4</v>
      </c>
      <c r="E67" s="51">
        <f>3.2%*C67</f>
        <v>1.6</v>
      </c>
      <c r="F67" s="51">
        <f>4.7%*C67</f>
        <v>2.35</v>
      </c>
      <c r="G67" s="51">
        <f>4*(D67+F67)+9*E67</f>
        <v>29.4</v>
      </c>
    </row>
    <row r="68" spans="1:7" s="1" customFormat="1" ht="15" x14ac:dyDescent="0.3">
      <c r="A68" s="50" t="s">
        <v>10</v>
      </c>
      <c r="B68" s="51">
        <v>10</v>
      </c>
      <c r="C68" s="51">
        <f>100%*B68</f>
        <v>10</v>
      </c>
      <c r="D68" s="51"/>
      <c r="E68" s="51"/>
      <c r="F68" s="51">
        <f>99%*C68</f>
        <v>9.9</v>
      </c>
      <c r="G68" s="51">
        <f>4*(D68+F68)+9*E68</f>
        <v>39.6</v>
      </c>
    </row>
    <row r="69" spans="1:7" s="1" customFormat="1" ht="14.25" customHeight="1" x14ac:dyDescent="0.3">
      <c r="A69" s="49" t="s">
        <v>12</v>
      </c>
      <c r="B69" s="99">
        <v>20</v>
      </c>
      <c r="C69" s="100"/>
      <c r="D69" s="52">
        <f>SUM(D66:D68)</f>
        <v>2.4</v>
      </c>
      <c r="E69" s="52">
        <f>SUM(E66:E68)</f>
        <v>2.25</v>
      </c>
      <c r="F69" s="52">
        <f>SUM(F66:F68)</f>
        <v>13.58</v>
      </c>
      <c r="G69" s="52">
        <f>SUM(G66:G68)</f>
        <v>84.17</v>
      </c>
    </row>
    <row r="70" spans="1:7" s="1" customFormat="1" ht="15" x14ac:dyDescent="0.3">
      <c r="A70" s="46"/>
      <c r="B70" s="46"/>
      <c r="C70" s="46"/>
      <c r="D70" s="46"/>
      <c r="E70" s="46"/>
      <c r="F70" s="46"/>
      <c r="G70" s="46"/>
    </row>
    <row r="71" spans="1:7" s="1" customFormat="1" ht="15" x14ac:dyDescent="0.3">
      <c r="A71" s="57" t="s">
        <v>128</v>
      </c>
      <c r="B71" s="96">
        <f>B69+B61+C48+B47+B39</f>
        <v>630</v>
      </c>
      <c r="C71" s="96"/>
      <c r="D71" s="58">
        <f>D69+D61+D48+D47+D39</f>
        <v>53.302165000000002</v>
      </c>
      <c r="E71" s="58">
        <f>E69+E61+E48+E47+E39</f>
        <v>38.856099999999998</v>
      </c>
      <c r="F71" s="58">
        <f>F69+F61+F48+F47+F39</f>
        <v>195.916</v>
      </c>
      <c r="G71" s="58">
        <f>G69+G61+G48+G47+G39</f>
        <v>1346.5775600000002</v>
      </c>
    </row>
    <row r="72" spans="1:7" s="1" customFormat="1" ht="15" x14ac:dyDescent="0.3">
      <c r="A72" s="63"/>
      <c r="B72" s="63"/>
      <c r="C72" s="63"/>
      <c r="D72" s="64"/>
      <c r="E72" s="64"/>
      <c r="F72" s="64"/>
      <c r="G72" s="64"/>
    </row>
    <row r="73" spans="1:7" s="1" customFormat="1" ht="15" x14ac:dyDescent="0.3">
      <c r="A73" s="150" t="s">
        <v>130</v>
      </c>
      <c r="B73" s="63"/>
      <c r="C73" s="63"/>
      <c r="D73" s="64"/>
      <c r="E73" s="64"/>
      <c r="F73" s="64"/>
      <c r="G73" s="64"/>
    </row>
    <row r="74" spans="1:7" s="1" customFormat="1" ht="15" x14ac:dyDescent="0.3">
      <c r="A74" s="63"/>
      <c r="B74" s="63"/>
      <c r="C74" s="63"/>
      <c r="D74" s="64"/>
      <c r="E74" s="64"/>
      <c r="F74" s="64"/>
      <c r="G74" s="64"/>
    </row>
    <row r="75" spans="1:7" s="1" customFormat="1" ht="15" x14ac:dyDescent="0.3">
      <c r="A75" s="151" t="s">
        <v>50</v>
      </c>
      <c r="B75" s="151"/>
      <c r="C75" s="63"/>
      <c r="D75" s="64"/>
      <c r="E75" s="64"/>
      <c r="F75" s="64"/>
      <c r="G75" s="64"/>
    </row>
    <row r="76" spans="1:7" s="1" customFormat="1" ht="30" x14ac:dyDescent="0.3">
      <c r="A76" s="95" t="s">
        <v>0</v>
      </c>
      <c r="B76" s="95" t="s">
        <v>1</v>
      </c>
      <c r="C76" s="95"/>
      <c r="D76" s="97" t="s">
        <v>2</v>
      </c>
      <c r="E76" s="97" t="s">
        <v>3</v>
      </c>
      <c r="F76" s="95" t="s">
        <v>4</v>
      </c>
      <c r="G76" s="49" t="s">
        <v>5</v>
      </c>
    </row>
    <row r="77" spans="1:7" ht="15" x14ac:dyDescent="0.2">
      <c r="A77" s="95"/>
      <c r="B77" s="49" t="s">
        <v>6</v>
      </c>
      <c r="C77" s="49" t="s">
        <v>7</v>
      </c>
      <c r="D77" s="98"/>
      <c r="E77" s="98"/>
      <c r="F77" s="95"/>
      <c r="G77" s="49" t="s">
        <v>8</v>
      </c>
    </row>
    <row r="78" spans="1:7" s="1" customFormat="1" ht="15" x14ac:dyDescent="0.3">
      <c r="A78" s="50" t="s">
        <v>16</v>
      </c>
      <c r="B78" s="51">
        <v>250</v>
      </c>
      <c r="C78" s="51">
        <f>B78*72%</f>
        <v>180</v>
      </c>
      <c r="D78" s="51">
        <f>18.5%*C78</f>
        <v>33.299999999999997</v>
      </c>
      <c r="E78" s="51">
        <f>15.9%*C78</f>
        <v>28.62</v>
      </c>
      <c r="F78" s="51"/>
      <c r="G78" s="51">
        <f>4*(D78+F78)+9*E78</f>
        <v>390.78</v>
      </c>
    </row>
    <row r="79" spans="1:7" s="1" customFormat="1" ht="15" x14ac:dyDescent="0.3">
      <c r="A79" s="50" t="s">
        <v>9</v>
      </c>
      <c r="B79" s="51">
        <v>3</v>
      </c>
      <c r="C79" s="51">
        <f>100%*B79</f>
        <v>3</v>
      </c>
      <c r="D79" s="51"/>
      <c r="E79" s="51">
        <f>72.57%*C79</f>
        <v>2.1770999999999998</v>
      </c>
      <c r="F79" s="51"/>
      <c r="G79" s="51">
        <f>4*(D79+F79)+9*E79</f>
        <v>19.593899999999998</v>
      </c>
    </row>
    <row r="80" spans="1:7" s="1" customFormat="1" ht="15" x14ac:dyDescent="0.3">
      <c r="A80" s="50" t="s">
        <v>66</v>
      </c>
      <c r="B80" s="51">
        <v>0.2</v>
      </c>
      <c r="C80" s="51">
        <f>100%*B80</f>
        <v>0.2</v>
      </c>
      <c r="D80" s="51"/>
      <c r="E80" s="51"/>
      <c r="F80" s="51"/>
      <c r="G80" s="51">
        <f t="shared" ref="G80:G85" si="5">4*(D80+F80)+9*E80</f>
        <v>0</v>
      </c>
    </row>
    <row r="81" spans="1:7" s="1" customFormat="1" ht="15" x14ac:dyDescent="0.3">
      <c r="A81" s="50" t="s">
        <v>15</v>
      </c>
      <c r="B81" s="51">
        <v>20</v>
      </c>
      <c r="C81" s="51">
        <f>90%*B81</f>
        <v>18</v>
      </c>
      <c r="D81" s="51">
        <f>1.58%*C81</f>
        <v>0.28440000000000004</v>
      </c>
      <c r="E81" s="51"/>
      <c r="F81" s="51">
        <f>9.5%*C81</f>
        <v>1.71</v>
      </c>
      <c r="G81" s="51">
        <f t="shared" si="5"/>
        <v>7.9775999999999998</v>
      </c>
    </row>
    <row r="82" spans="1:7" s="1" customFormat="1" ht="31.5" customHeight="1" x14ac:dyDescent="0.3">
      <c r="A82" s="50" t="s">
        <v>18</v>
      </c>
      <c r="B82" s="51">
        <v>0.3</v>
      </c>
      <c r="C82" s="51">
        <f>92%*B82</f>
        <v>0.27600000000000002</v>
      </c>
      <c r="D82" s="51"/>
      <c r="E82" s="51"/>
      <c r="F82" s="51"/>
      <c r="G82" s="51">
        <f t="shared" si="5"/>
        <v>0</v>
      </c>
    </row>
    <row r="83" spans="1:7" s="1" customFormat="1" ht="15" x14ac:dyDescent="0.3">
      <c r="A83" s="50" t="s">
        <v>19</v>
      </c>
      <c r="B83" s="51">
        <v>4</v>
      </c>
      <c r="C83" s="51">
        <f>85%*B83</f>
        <v>3.4</v>
      </c>
      <c r="D83" s="51"/>
      <c r="E83" s="51"/>
      <c r="F83" s="51"/>
      <c r="G83" s="51">
        <f t="shared" si="5"/>
        <v>0</v>
      </c>
    </row>
    <row r="84" spans="1:7" s="1" customFormat="1" ht="15" x14ac:dyDescent="0.3">
      <c r="A84" s="50" t="s">
        <v>32</v>
      </c>
      <c r="B84" s="51">
        <v>50</v>
      </c>
      <c r="C84" s="51">
        <f>90%*B84</f>
        <v>45</v>
      </c>
      <c r="D84" s="51">
        <f>1.1%*C84</f>
        <v>0.49500000000000005</v>
      </c>
      <c r="E84" s="51">
        <f>0.2%*C84</f>
        <v>0.09</v>
      </c>
      <c r="F84" s="51">
        <f>3.8%*C84</f>
        <v>1.71</v>
      </c>
      <c r="G84" s="51">
        <f t="shared" si="5"/>
        <v>9.6300000000000008</v>
      </c>
    </row>
    <row r="85" spans="1:7" s="1" customFormat="1" ht="15" x14ac:dyDescent="0.3">
      <c r="A85" s="50" t="s">
        <v>11</v>
      </c>
      <c r="B85" s="51">
        <v>1</v>
      </c>
      <c r="C85" s="51">
        <f>100%*B85</f>
        <v>1</v>
      </c>
      <c r="D85" s="51"/>
      <c r="E85" s="51"/>
      <c r="F85" s="51"/>
      <c r="G85" s="51">
        <f t="shared" si="5"/>
        <v>0</v>
      </c>
    </row>
    <row r="86" spans="1:7" s="1" customFormat="1" ht="15" x14ac:dyDescent="0.3">
      <c r="A86" s="49" t="s">
        <v>12</v>
      </c>
      <c r="B86" s="99" t="s">
        <v>89</v>
      </c>
      <c r="C86" s="100"/>
      <c r="D86" s="52">
        <f>SUM(D78:D85)</f>
        <v>34.079399999999993</v>
      </c>
      <c r="E86" s="52">
        <f>SUM(E78:E85)</f>
        <v>30.8871</v>
      </c>
      <c r="F86" s="52">
        <f>SUM(F78:F85)</f>
        <v>3.42</v>
      </c>
      <c r="G86" s="52">
        <f>SUM(G78:G85)</f>
        <v>427.98149999999998</v>
      </c>
    </row>
    <row r="87" spans="1:7" s="1" customFormat="1" ht="15" x14ac:dyDescent="0.3">
      <c r="A87" s="147" t="s">
        <v>49</v>
      </c>
      <c r="B87" s="126">
        <v>250</v>
      </c>
      <c r="C87" s="126">
        <v>250</v>
      </c>
      <c r="D87" s="126">
        <f>C87*7.9%</f>
        <v>19.75</v>
      </c>
      <c r="E87" s="126">
        <f>C87*1%</f>
        <v>2.5</v>
      </c>
      <c r="F87" s="126">
        <f>C87*49.6%</f>
        <v>124</v>
      </c>
      <c r="G87" s="126">
        <f>4*(D87+F87)+9*E87</f>
        <v>597.5</v>
      </c>
    </row>
    <row r="88" spans="1:7" s="1" customFormat="1" ht="15" x14ac:dyDescent="0.3"/>
    <row r="89" spans="1:7" s="1" customFormat="1" ht="15" x14ac:dyDescent="0.3">
      <c r="A89" s="62" t="s">
        <v>90</v>
      </c>
      <c r="B89" s="62"/>
      <c r="C89" s="62"/>
      <c r="D89" s="62"/>
      <c r="E89" s="62"/>
      <c r="F89" s="62"/>
      <c r="G89" s="62"/>
    </row>
    <row r="90" spans="1:7" s="1" customFormat="1" ht="30" x14ac:dyDescent="0.3">
      <c r="A90" s="95" t="s">
        <v>0</v>
      </c>
      <c r="B90" s="95" t="s">
        <v>1</v>
      </c>
      <c r="C90" s="95"/>
      <c r="D90" s="97" t="s">
        <v>2</v>
      </c>
      <c r="E90" s="97" t="s">
        <v>3</v>
      </c>
      <c r="F90" s="95" t="s">
        <v>4</v>
      </c>
      <c r="G90" s="49" t="s">
        <v>5</v>
      </c>
    </row>
    <row r="91" spans="1:7" s="1" customFormat="1" ht="15" x14ac:dyDescent="0.3">
      <c r="A91" s="95"/>
      <c r="B91" s="49" t="s">
        <v>6</v>
      </c>
      <c r="C91" s="49" t="s">
        <v>7</v>
      </c>
      <c r="D91" s="98"/>
      <c r="E91" s="98"/>
      <c r="F91" s="95"/>
      <c r="G91" s="49" t="s">
        <v>8</v>
      </c>
    </row>
    <row r="92" spans="1:7" s="1" customFormat="1" ht="15" x14ac:dyDescent="0.3">
      <c r="A92" s="50" t="s">
        <v>91</v>
      </c>
      <c r="B92" s="51">
        <v>50</v>
      </c>
      <c r="C92" s="51">
        <f>B92*100%</f>
        <v>50</v>
      </c>
      <c r="D92" s="51">
        <f>9.15%*C92</f>
        <v>4.5750000000000002</v>
      </c>
      <c r="E92" s="51">
        <f>0.8%*C92</f>
        <v>0.4</v>
      </c>
      <c r="F92" s="51">
        <f>60%*C92</f>
        <v>30</v>
      </c>
      <c r="G92" s="51">
        <f>4*(D92+F92)+9*E92</f>
        <v>141.9</v>
      </c>
    </row>
    <row r="93" spans="1:7" s="1" customFormat="1" ht="15" x14ac:dyDescent="0.3">
      <c r="A93" s="50" t="s">
        <v>26</v>
      </c>
      <c r="B93" s="51">
        <v>3</v>
      </c>
      <c r="C93" s="51">
        <f>100%*B93</f>
        <v>3</v>
      </c>
      <c r="D93" s="51"/>
      <c r="E93" s="51">
        <f>99.9%*C93</f>
        <v>2.9970000000000003</v>
      </c>
      <c r="F93" s="51"/>
      <c r="G93" s="51">
        <f>4*(D93+F93)+9*E93</f>
        <v>26.973000000000003</v>
      </c>
    </row>
    <row r="94" spans="1:7" s="1" customFormat="1" ht="15" x14ac:dyDescent="0.3">
      <c r="A94" s="50" t="s">
        <v>11</v>
      </c>
      <c r="B94" s="51">
        <v>1</v>
      </c>
      <c r="C94" s="51">
        <f>100%*B94</f>
        <v>1</v>
      </c>
      <c r="D94" s="51"/>
      <c r="E94" s="51"/>
      <c r="F94" s="51"/>
      <c r="G94" s="51">
        <f>4*(D94+F94)+9*E94</f>
        <v>0</v>
      </c>
    </row>
    <row r="95" spans="1:7" s="1" customFormat="1" ht="15" x14ac:dyDescent="0.3">
      <c r="A95" s="49" t="s">
        <v>12</v>
      </c>
      <c r="B95" s="119">
        <v>200</v>
      </c>
      <c r="C95" s="120"/>
      <c r="D95" s="52">
        <f>SUM(D92:D94)</f>
        <v>4.5750000000000002</v>
      </c>
      <c r="E95" s="52">
        <f>SUM(E92:E94)</f>
        <v>3.3970000000000002</v>
      </c>
      <c r="F95" s="52">
        <f>SUM(F92:F94)</f>
        <v>30</v>
      </c>
      <c r="G95" s="52">
        <f>SUM(G92:G94)</f>
        <v>168.87300000000002</v>
      </c>
    </row>
    <row r="96" spans="1:7" s="1" customFormat="1" ht="15" x14ac:dyDescent="0.3">
      <c r="A96" s="46"/>
      <c r="B96" s="46"/>
      <c r="C96" s="46"/>
      <c r="D96" s="46"/>
      <c r="E96" s="46"/>
      <c r="F96" s="46"/>
      <c r="G96" s="46"/>
    </row>
    <row r="97" spans="1:7" s="1" customFormat="1" ht="15" x14ac:dyDescent="0.3">
      <c r="A97" s="46"/>
      <c r="B97" s="46"/>
      <c r="C97" s="46"/>
      <c r="D97" s="46"/>
      <c r="E97" s="46"/>
      <c r="F97" s="46"/>
      <c r="G97" s="46"/>
    </row>
    <row r="98" spans="1:7" s="1" customFormat="1" ht="30" x14ac:dyDescent="0.3">
      <c r="A98" s="95" t="s">
        <v>0</v>
      </c>
      <c r="B98" s="95" t="s">
        <v>1</v>
      </c>
      <c r="C98" s="95"/>
      <c r="D98" s="97" t="s">
        <v>2</v>
      </c>
      <c r="E98" s="97" t="s">
        <v>3</v>
      </c>
      <c r="F98" s="95" t="s">
        <v>4</v>
      </c>
      <c r="G98" s="49" t="s">
        <v>5</v>
      </c>
    </row>
    <row r="99" spans="1:7" s="1" customFormat="1" ht="15" x14ac:dyDescent="0.3">
      <c r="A99" s="95"/>
      <c r="B99" s="49" t="s">
        <v>6</v>
      </c>
      <c r="C99" s="49" t="s">
        <v>7</v>
      </c>
      <c r="D99" s="98"/>
      <c r="E99" s="98"/>
      <c r="F99" s="95"/>
      <c r="G99" s="49" t="s">
        <v>8</v>
      </c>
    </row>
    <row r="100" spans="1:7" s="1" customFormat="1" ht="15" x14ac:dyDescent="0.3">
      <c r="A100" s="50" t="s">
        <v>62</v>
      </c>
      <c r="B100" s="51">
        <v>200</v>
      </c>
      <c r="C100" s="51">
        <f>100%*B100</f>
        <v>200</v>
      </c>
      <c r="D100" s="51">
        <f>0.66%*C100</f>
        <v>1.32</v>
      </c>
      <c r="E100" s="51"/>
      <c r="F100" s="51">
        <f>17.3%*C100</f>
        <v>34.6</v>
      </c>
      <c r="G100" s="51">
        <f>4*(D100+F100)+9*E100</f>
        <v>143.68</v>
      </c>
    </row>
    <row r="101" spans="1:7" s="1" customFormat="1" ht="15" x14ac:dyDescent="0.3">
      <c r="A101" s="49" t="s">
        <v>12</v>
      </c>
      <c r="B101" s="99">
        <v>200</v>
      </c>
      <c r="C101" s="100"/>
      <c r="D101" s="52">
        <f>SUM(D100:D100)</f>
        <v>1.32</v>
      </c>
      <c r="E101" s="52">
        <f>SUM(E100:E100)</f>
        <v>0</v>
      </c>
      <c r="F101" s="52">
        <f>SUM(F100:F100)</f>
        <v>34.6</v>
      </c>
      <c r="G101" s="52">
        <f>SUM(G100:G100)</f>
        <v>143.68</v>
      </c>
    </row>
    <row r="102" spans="1:7" s="1" customFormat="1" ht="15" x14ac:dyDescent="0.3">
      <c r="A102" s="46"/>
      <c r="B102" s="46"/>
      <c r="C102" s="46"/>
      <c r="D102" s="46"/>
      <c r="E102" s="46"/>
      <c r="F102" s="46"/>
      <c r="G102" s="46"/>
    </row>
    <row r="103" spans="1:7" s="1" customFormat="1" ht="15" x14ac:dyDescent="0.3">
      <c r="A103" s="57" t="s">
        <v>134</v>
      </c>
      <c r="B103" s="96">
        <f>B101+B95+C87+149+220</f>
        <v>1019</v>
      </c>
      <c r="C103" s="96"/>
      <c r="D103" s="58">
        <f>D101+D95+D87+D86</f>
        <v>59.724399999999989</v>
      </c>
      <c r="E103" s="58">
        <f t="shared" ref="E103:G103" si="6">E101+E95+E87+E86</f>
        <v>36.784100000000002</v>
      </c>
      <c r="F103" s="58">
        <f t="shared" si="6"/>
        <v>192.01999999999998</v>
      </c>
      <c r="G103" s="58">
        <f t="shared" si="6"/>
        <v>1338.0345</v>
      </c>
    </row>
    <row r="104" spans="1:7" s="1" customFormat="1" ht="15" x14ac:dyDescent="0.3"/>
    <row r="105" spans="1:7" ht="15" x14ac:dyDescent="0.3">
      <c r="A105" s="1"/>
      <c r="B105" s="1"/>
      <c r="C105" s="1"/>
      <c r="D105" s="1"/>
      <c r="E105" s="1"/>
      <c r="F105" s="1"/>
      <c r="G105" s="1"/>
    </row>
    <row r="106" spans="1:7" ht="15" x14ac:dyDescent="0.3">
      <c r="A106" s="57" t="s">
        <v>122</v>
      </c>
      <c r="B106" s="101">
        <f>B103+B71+B26</f>
        <v>1829</v>
      </c>
      <c r="C106" s="101"/>
      <c r="D106" s="67">
        <f>D103+D71+D26</f>
        <v>135.260965</v>
      </c>
      <c r="E106" s="67">
        <f>E103+E71+E26</f>
        <v>90.724099999999993</v>
      </c>
      <c r="F106" s="67">
        <f>F103+F71+F26</f>
        <v>456.71600000000001</v>
      </c>
      <c r="G106" s="67">
        <f>G103+G71+G26</f>
        <v>3184.4247600000003</v>
      </c>
    </row>
    <row r="107" spans="1:7" s="1" customFormat="1" ht="15" x14ac:dyDescent="0.3"/>
    <row r="108" spans="1:7" s="1" customFormat="1" ht="15" x14ac:dyDescent="0.3">
      <c r="A108" s="46"/>
      <c r="B108" s="46"/>
      <c r="C108" s="46"/>
      <c r="D108" s="46"/>
      <c r="E108" s="46"/>
      <c r="F108" s="46"/>
      <c r="G108" s="46"/>
    </row>
    <row r="109" spans="1:7" s="1" customFormat="1" ht="15" x14ac:dyDescent="0.3">
      <c r="A109" s="46"/>
      <c r="B109" s="46"/>
      <c r="C109" s="46"/>
      <c r="D109" s="46"/>
      <c r="E109" s="46"/>
      <c r="F109" s="46"/>
      <c r="G109" s="46"/>
    </row>
    <row r="110" spans="1:7" s="1" customFormat="1" ht="15" x14ac:dyDescent="0.3">
      <c r="A110" s="46"/>
      <c r="B110" s="46"/>
      <c r="C110" s="46"/>
      <c r="D110" s="46"/>
      <c r="E110" s="46"/>
      <c r="F110" s="46"/>
      <c r="G110" s="46"/>
    </row>
    <row r="112" spans="1:7" s="1" customFormat="1" ht="15" x14ac:dyDescent="0.3">
      <c r="A112" s="46"/>
      <c r="B112" s="46"/>
      <c r="C112" s="46"/>
      <c r="D112" s="46"/>
      <c r="E112" s="46"/>
      <c r="F112" s="46"/>
      <c r="G112" s="46"/>
    </row>
    <row r="113" spans="1:7" s="1" customFormat="1" ht="15" x14ac:dyDescent="0.3">
      <c r="A113" s="46"/>
      <c r="B113" s="46"/>
      <c r="C113" s="46"/>
      <c r="D113" s="46"/>
      <c r="E113" s="46"/>
      <c r="F113" s="46"/>
      <c r="G113" s="46"/>
    </row>
    <row r="114" spans="1:7" s="1" customFormat="1" ht="15" x14ac:dyDescent="0.3">
      <c r="A114" s="46"/>
      <c r="B114" s="46"/>
      <c r="C114" s="46"/>
      <c r="D114" s="46"/>
      <c r="E114" s="46"/>
      <c r="F114" s="46"/>
      <c r="G114" s="46"/>
    </row>
    <row r="115" spans="1:7" s="1" customFormat="1" ht="15" x14ac:dyDescent="0.3">
      <c r="A115" s="46"/>
      <c r="B115" s="46"/>
      <c r="C115" s="46"/>
      <c r="D115" s="46"/>
      <c r="E115" s="46"/>
      <c r="F115" s="46"/>
      <c r="G115" s="46"/>
    </row>
    <row r="116" spans="1:7" s="1" customFormat="1" ht="15" x14ac:dyDescent="0.3">
      <c r="A116" s="46"/>
      <c r="B116" s="46"/>
      <c r="C116" s="46"/>
      <c r="D116" s="46"/>
      <c r="E116" s="46"/>
      <c r="F116" s="46"/>
      <c r="G116" s="46"/>
    </row>
  </sheetData>
  <mergeCells count="66">
    <mergeCell ref="D64:D65"/>
    <mergeCell ref="E64:E65"/>
    <mergeCell ref="A1:G1"/>
    <mergeCell ref="A2:G2"/>
    <mergeCell ref="A3:G3"/>
    <mergeCell ref="A30:G30"/>
    <mergeCell ref="A31:A32"/>
    <mergeCell ref="B31:C31"/>
    <mergeCell ref="D31:D32"/>
    <mergeCell ref="E31:E32"/>
    <mergeCell ref="F31:F32"/>
    <mergeCell ref="E18:E19"/>
    <mergeCell ref="F18:F19"/>
    <mergeCell ref="A41:G41"/>
    <mergeCell ref="A42:A43"/>
    <mergeCell ref="B42:C42"/>
    <mergeCell ref="D42:D43"/>
    <mergeCell ref="E42:E43"/>
    <mergeCell ref="F42:F43"/>
    <mergeCell ref="A18:A19"/>
    <mergeCell ref="B18:C18"/>
    <mergeCell ref="D18:D19"/>
    <mergeCell ref="B23:C23"/>
    <mergeCell ref="B26:C26"/>
    <mergeCell ref="B103:C103"/>
    <mergeCell ref="B106:C106"/>
    <mergeCell ref="B86:C86"/>
    <mergeCell ref="B90:C90"/>
    <mergeCell ref="B95:C95"/>
    <mergeCell ref="B98:C98"/>
    <mergeCell ref="B101:C101"/>
    <mergeCell ref="B47:C47"/>
    <mergeCell ref="A76:A77"/>
    <mergeCell ref="B76:C76"/>
    <mergeCell ref="B39:C39"/>
    <mergeCell ref="A7:A8"/>
    <mergeCell ref="D7:D8"/>
    <mergeCell ref="E7:E8"/>
    <mergeCell ref="F7:F8"/>
    <mergeCell ref="A17:G17"/>
    <mergeCell ref="B15:C15"/>
    <mergeCell ref="B7:C7"/>
    <mergeCell ref="A98:A99"/>
    <mergeCell ref="D98:D99"/>
    <mergeCell ref="E98:E99"/>
    <mergeCell ref="F98:F99"/>
    <mergeCell ref="A90:A91"/>
    <mergeCell ref="D90:D91"/>
    <mergeCell ref="E90:E91"/>
    <mergeCell ref="F90:F91"/>
    <mergeCell ref="D76:D77"/>
    <mergeCell ref="E76:E77"/>
    <mergeCell ref="F76:F77"/>
    <mergeCell ref="B61:C61"/>
    <mergeCell ref="A52:A53"/>
    <mergeCell ref="B52:C52"/>
    <mergeCell ref="D52:D53"/>
    <mergeCell ref="E52:E53"/>
    <mergeCell ref="B71:C71"/>
    <mergeCell ref="A75:B75"/>
    <mergeCell ref="F64:F65"/>
    <mergeCell ref="F52:F53"/>
    <mergeCell ref="B64:C64"/>
    <mergeCell ref="B69:C69"/>
    <mergeCell ref="A63:G63"/>
    <mergeCell ref="A64:A65"/>
  </mergeCells>
  <pageMargins left="0.7" right="0.7" top="0.75" bottom="0.75" header="0.3" footer="0.3"/>
  <pageSetup paperSize="9" scale="7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9"/>
  <sheetViews>
    <sheetView view="pageBreakPreview" topLeftCell="A100" zoomScale="124" zoomScaleNormal="100" zoomScaleSheetLayoutView="124" workbookViewId="0">
      <selection activeCell="A68" sqref="A68"/>
    </sheetView>
  </sheetViews>
  <sheetFormatPr defaultRowHeight="12.75" x14ac:dyDescent="0.2"/>
  <cols>
    <col min="1" max="1" width="17" style="113" customWidth="1"/>
    <col min="2" max="3" width="17" style="46" customWidth="1"/>
    <col min="4" max="6" width="15.140625" style="46" customWidth="1"/>
    <col min="7" max="7" width="19.42578125" style="46" customWidth="1"/>
    <col min="8" max="16384" width="9.140625" style="46"/>
  </cols>
  <sheetData>
    <row r="1" spans="1:7" ht="15" x14ac:dyDescent="0.2">
      <c r="A1" s="105" t="s">
        <v>123</v>
      </c>
      <c r="B1" s="105"/>
      <c r="C1" s="105"/>
      <c r="D1" s="105"/>
      <c r="E1" s="105"/>
      <c r="F1" s="105"/>
      <c r="G1" s="105"/>
    </row>
    <row r="2" spans="1:7" ht="92.25" customHeight="1" x14ac:dyDescent="0.2">
      <c r="A2" s="104" t="s">
        <v>127</v>
      </c>
      <c r="B2" s="104"/>
      <c r="C2" s="104"/>
      <c r="D2" s="104"/>
      <c r="E2" s="104"/>
      <c r="F2" s="104"/>
      <c r="G2" s="104"/>
    </row>
    <row r="3" spans="1:7" s="1" customFormat="1" ht="15" x14ac:dyDescent="0.3">
      <c r="A3" s="106" t="s">
        <v>94</v>
      </c>
      <c r="B3" s="106"/>
      <c r="C3" s="106"/>
      <c r="D3" s="106"/>
      <c r="E3" s="106"/>
      <c r="F3" s="106"/>
      <c r="G3" s="106"/>
    </row>
    <row r="4" spans="1:7" s="1" customFormat="1" ht="15" x14ac:dyDescent="0.3">
      <c r="A4" s="109" t="s">
        <v>119</v>
      </c>
    </row>
    <row r="5" spans="1:7" s="1" customFormat="1" ht="15" x14ac:dyDescent="0.3">
      <c r="A5" s="8"/>
    </row>
    <row r="6" spans="1:7" s="1" customFormat="1" ht="15" x14ac:dyDescent="0.3">
      <c r="A6" s="102" t="s">
        <v>41</v>
      </c>
      <c r="B6" s="102"/>
      <c r="C6" s="102"/>
      <c r="D6" s="102"/>
      <c r="E6" s="102"/>
      <c r="F6" s="102"/>
      <c r="G6" s="102"/>
    </row>
    <row r="7" spans="1:7" ht="30" x14ac:dyDescent="0.2">
      <c r="A7" s="95" t="s">
        <v>0</v>
      </c>
      <c r="B7" s="95" t="s">
        <v>1</v>
      </c>
      <c r="C7" s="95"/>
      <c r="D7" s="97" t="s">
        <v>2</v>
      </c>
      <c r="E7" s="97" t="s">
        <v>3</v>
      </c>
      <c r="F7" s="95" t="s">
        <v>36</v>
      </c>
      <c r="G7" s="49" t="s">
        <v>5</v>
      </c>
    </row>
    <row r="8" spans="1:7" s="1" customFormat="1" ht="15" x14ac:dyDescent="0.3">
      <c r="A8" s="95"/>
      <c r="B8" s="49" t="s">
        <v>6</v>
      </c>
      <c r="C8" s="49" t="s">
        <v>7</v>
      </c>
      <c r="D8" s="98"/>
      <c r="E8" s="98"/>
      <c r="F8" s="95"/>
      <c r="G8" s="49" t="s">
        <v>8</v>
      </c>
    </row>
    <row r="9" spans="1:7" s="1" customFormat="1" ht="35.25" customHeight="1" x14ac:dyDescent="0.3">
      <c r="A9" s="110" t="s">
        <v>42</v>
      </c>
      <c r="B9" s="51">
        <v>25</v>
      </c>
      <c r="C9" s="51">
        <f>B9*100%</f>
        <v>25</v>
      </c>
      <c r="D9" s="51">
        <f>C9*20.8%</f>
        <v>5.2</v>
      </c>
      <c r="E9" s="51">
        <f>C9*2%</f>
        <v>0.5</v>
      </c>
      <c r="F9" s="51">
        <f>C9*46.6%</f>
        <v>11.65</v>
      </c>
      <c r="G9" s="51">
        <f>4*(D9+F9)+9*E9</f>
        <v>71.900000000000006</v>
      </c>
    </row>
    <row r="10" spans="1:7" s="1" customFormat="1" ht="30" x14ac:dyDescent="0.3">
      <c r="A10" s="110" t="s">
        <v>43</v>
      </c>
      <c r="B10" s="51">
        <v>35</v>
      </c>
      <c r="C10" s="51">
        <f>B10*100%</f>
        <v>35</v>
      </c>
      <c r="D10" s="51">
        <f>C10*10%</f>
        <v>3.5</v>
      </c>
      <c r="E10" s="51">
        <f>C10*1.3%</f>
        <v>0.45500000000000002</v>
      </c>
      <c r="F10" s="51">
        <f>C10*69%</f>
        <v>24.15</v>
      </c>
      <c r="G10" s="51">
        <f>4*(D10+F10)+9*E10</f>
        <v>114.69499999999999</v>
      </c>
    </row>
    <row r="11" spans="1:7" s="1" customFormat="1" ht="15" x14ac:dyDescent="0.3">
      <c r="A11" s="50" t="s">
        <v>44</v>
      </c>
      <c r="B11" s="51">
        <v>1</v>
      </c>
      <c r="C11" s="51">
        <f>100%*B11</f>
        <v>1</v>
      </c>
      <c r="D11" s="51"/>
      <c r="E11" s="51"/>
      <c r="F11" s="51"/>
      <c r="G11" s="51"/>
    </row>
    <row r="12" spans="1:7" s="1" customFormat="1" ht="15" x14ac:dyDescent="0.3">
      <c r="A12" s="110" t="s">
        <v>26</v>
      </c>
      <c r="B12" s="51">
        <v>8</v>
      </c>
      <c r="C12" s="51">
        <f>100%*B12</f>
        <v>8</v>
      </c>
      <c r="D12" s="51"/>
      <c r="E12" s="51">
        <f>99.9%*C12</f>
        <v>7.9920000000000009</v>
      </c>
      <c r="F12" s="51"/>
      <c r="G12" s="51">
        <f>4*(D12+F12)+9*E12</f>
        <v>71.928000000000011</v>
      </c>
    </row>
    <row r="13" spans="1:7" s="1" customFormat="1" ht="15" x14ac:dyDescent="0.3">
      <c r="A13" s="110" t="s">
        <v>15</v>
      </c>
      <c r="B13" s="51">
        <v>12</v>
      </c>
      <c r="C13" s="51">
        <f>90%*B13</f>
        <v>10.8</v>
      </c>
      <c r="D13" s="51">
        <f>1.58%*C13</f>
        <v>0.17064000000000004</v>
      </c>
      <c r="E13" s="51"/>
      <c r="F13" s="51">
        <f>9.5%*C13</f>
        <v>1.026</v>
      </c>
      <c r="G13" s="51">
        <f>4*(D13+F13)+9*E13</f>
        <v>4.7865600000000006</v>
      </c>
    </row>
    <row r="14" spans="1:7" s="1" customFormat="1" ht="15" x14ac:dyDescent="0.3">
      <c r="A14" s="110" t="s">
        <v>45</v>
      </c>
      <c r="B14" s="51">
        <v>0.5</v>
      </c>
      <c r="C14" s="51">
        <v>0.5</v>
      </c>
      <c r="D14" s="51"/>
      <c r="E14" s="51"/>
      <c r="F14" s="51"/>
      <c r="G14" s="51"/>
    </row>
    <row r="15" spans="1:7" s="1" customFormat="1" ht="15" x14ac:dyDescent="0.3">
      <c r="A15" s="50" t="s">
        <v>11</v>
      </c>
      <c r="B15" s="51">
        <v>1</v>
      </c>
      <c r="C15" s="51">
        <v>1</v>
      </c>
      <c r="D15" s="51"/>
      <c r="E15" s="51"/>
      <c r="F15" s="51"/>
      <c r="G15" s="51"/>
    </row>
    <row r="16" spans="1:7" s="1" customFormat="1" ht="15" x14ac:dyDescent="0.3">
      <c r="A16" s="49" t="s">
        <v>12</v>
      </c>
      <c r="B16" s="99">
        <v>200</v>
      </c>
      <c r="C16" s="100"/>
      <c r="D16" s="52">
        <f>SUM(D9:D15)</f>
        <v>8.8706399999999999</v>
      </c>
      <c r="E16" s="52">
        <f>SUM(E9:E15)</f>
        <v>8.947000000000001</v>
      </c>
      <c r="F16" s="52">
        <f>SUM(F9:F15)</f>
        <v>36.826000000000001</v>
      </c>
      <c r="G16" s="52">
        <f>SUM(G9:G15)</f>
        <v>263.30956000000003</v>
      </c>
    </row>
    <row r="17" spans="1:7" s="1" customFormat="1" ht="15" x14ac:dyDescent="0.3">
      <c r="A17" s="111"/>
      <c r="B17" s="111"/>
      <c r="C17" s="111"/>
      <c r="D17" s="112"/>
      <c r="E17" s="112"/>
      <c r="F17" s="112"/>
      <c r="G17" s="112"/>
    </row>
    <row r="18" spans="1:7" s="1" customFormat="1" ht="30" x14ac:dyDescent="0.3">
      <c r="A18" s="95" t="s">
        <v>0</v>
      </c>
      <c r="B18" s="95" t="s">
        <v>1</v>
      </c>
      <c r="C18" s="95"/>
      <c r="D18" s="97" t="s">
        <v>2</v>
      </c>
      <c r="E18" s="97" t="s">
        <v>3</v>
      </c>
      <c r="F18" s="95" t="s">
        <v>36</v>
      </c>
      <c r="G18" s="49" t="s">
        <v>5</v>
      </c>
    </row>
    <row r="19" spans="1:7" s="1" customFormat="1" ht="15" x14ac:dyDescent="0.3">
      <c r="A19" s="95"/>
      <c r="B19" s="49" t="s">
        <v>6</v>
      </c>
      <c r="C19" s="49" t="s">
        <v>7</v>
      </c>
      <c r="D19" s="98"/>
      <c r="E19" s="98"/>
      <c r="F19" s="95"/>
      <c r="G19" s="49" t="s">
        <v>8</v>
      </c>
    </row>
    <row r="20" spans="1:7" s="6" customFormat="1" ht="15" x14ac:dyDescent="0.3">
      <c r="A20" s="56" t="s">
        <v>47</v>
      </c>
      <c r="B20" s="51">
        <v>5</v>
      </c>
      <c r="C20" s="51">
        <f>100%*B20</f>
        <v>5</v>
      </c>
      <c r="D20" s="51">
        <f>20%*C20</f>
        <v>1</v>
      </c>
      <c r="E20" s="51">
        <f>13%*C20</f>
        <v>0.65</v>
      </c>
      <c r="F20" s="51">
        <f>26.6%*C20</f>
        <v>1.33</v>
      </c>
      <c r="G20" s="51">
        <f>4*(D20+F20)+9*E20</f>
        <v>15.170000000000002</v>
      </c>
    </row>
    <row r="21" spans="1:7" ht="23.25" customHeight="1" x14ac:dyDescent="0.2">
      <c r="A21" s="50" t="s">
        <v>10</v>
      </c>
      <c r="B21" s="51">
        <v>10</v>
      </c>
      <c r="C21" s="51">
        <f>100%*B21</f>
        <v>10</v>
      </c>
      <c r="D21" s="51"/>
      <c r="E21" s="51"/>
      <c r="F21" s="51">
        <f>99%*C21</f>
        <v>9.9</v>
      </c>
      <c r="G21" s="51">
        <f>4*(D21+F21)+9*E21</f>
        <v>39.6</v>
      </c>
    </row>
    <row r="22" spans="1:7" s="1" customFormat="1" ht="15" x14ac:dyDescent="0.3">
      <c r="A22" s="49" t="s">
        <v>12</v>
      </c>
      <c r="B22" s="99">
        <v>200</v>
      </c>
      <c r="C22" s="100"/>
      <c r="D22" s="52">
        <f>SUM(D20:D21)</f>
        <v>1</v>
      </c>
      <c r="E22" s="52">
        <f>SUM(E20:E21)</f>
        <v>0.65</v>
      </c>
      <c r="F22" s="52">
        <f>SUM(F20:F21)</f>
        <v>11.23</v>
      </c>
      <c r="G22" s="52">
        <f>SUM(G20:G21)</f>
        <v>54.77</v>
      </c>
    </row>
    <row r="23" spans="1:7" s="1" customFormat="1" ht="15" x14ac:dyDescent="0.3">
      <c r="A23" s="113"/>
      <c r="B23" s="46"/>
      <c r="C23" s="46"/>
      <c r="D23" s="46"/>
      <c r="E23" s="46"/>
      <c r="F23" s="46"/>
      <c r="G23" s="46"/>
    </row>
    <row r="24" spans="1:7" s="1" customFormat="1" ht="15" x14ac:dyDescent="0.3">
      <c r="A24" s="114" t="s">
        <v>120</v>
      </c>
      <c r="B24" s="96">
        <f>B22+B16</f>
        <v>400</v>
      </c>
      <c r="C24" s="96"/>
      <c r="D24" s="58">
        <f>D22+D16</f>
        <v>9.8706399999999999</v>
      </c>
      <c r="E24" s="58">
        <f t="shared" ref="E24:G24" si="0">E22+E16</f>
        <v>9.5970000000000013</v>
      </c>
      <c r="F24" s="58">
        <f t="shared" si="0"/>
        <v>48.055999999999997</v>
      </c>
      <c r="G24" s="58">
        <f t="shared" si="0"/>
        <v>318.07956000000001</v>
      </c>
    </row>
    <row r="25" spans="1:7" s="1" customFormat="1" ht="15" x14ac:dyDescent="0.3">
      <c r="A25" s="8"/>
    </row>
    <row r="26" spans="1:7" s="1" customFormat="1" ht="15" x14ac:dyDescent="0.3">
      <c r="A26" s="115" t="s">
        <v>132</v>
      </c>
    </row>
    <row r="27" spans="1:7" s="4" customFormat="1" ht="15" x14ac:dyDescent="0.3">
      <c r="A27" s="8"/>
      <c r="B27" s="1"/>
      <c r="C27" s="1"/>
      <c r="D27" s="1"/>
      <c r="E27" s="1"/>
      <c r="F27" s="1"/>
      <c r="G27" s="1"/>
    </row>
    <row r="28" spans="1:7" s="7" customFormat="1" ht="15" x14ac:dyDescent="0.3">
      <c r="A28" s="103" t="s">
        <v>95</v>
      </c>
      <c r="B28" s="103"/>
      <c r="C28" s="103"/>
      <c r="D28" s="103"/>
      <c r="E28" s="103"/>
      <c r="F28" s="103"/>
      <c r="G28" s="103"/>
    </row>
    <row r="29" spans="1:7" s="7" customFormat="1" ht="39" customHeight="1" x14ac:dyDescent="0.3">
      <c r="A29" s="95" t="s">
        <v>0</v>
      </c>
      <c r="B29" s="95" t="s">
        <v>1</v>
      </c>
      <c r="C29" s="95"/>
      <c r="D29" s="97" t="s">
        <v>2</v>
      </c>
      <c r="E29" s="97" t="s">
        <v>3</v>
      </c>
      <c r="F29" s="95" t="s">
        <v>4</v>
      </c>
      <c r="G29" s="49" t="s">
        <v>5</v>
      </c>
    </row>
    <row r="30" spans="1:7" s="7" customFormat="1" ht="15" x14ac:dyDescent="0.3">
      <c r="A30" s="95"/>
      <c r="B30" s="49" t="s">
        <v>6</v>
      </c>
      <c r="C30" s="49" t="s">
        <v>7</v>
      </c>
      <c r="D30" s="98"/>
      <c r="E30" s="98"/>
      <c r="F30" s="95"/>
      <c r="G30" s="49" t="s">
        <v>8</v>
      </c>
    </row>
    <row r="31" spans="1:7" s="7" customFormat="1" ht="15" x14ac:dyDescent="0.3">
      <c r="A31" s="116" t="s">
        <v>96</v>
      </c>
      <c r="B31" s="117">
        <v>150</v>
      </c>
      <c r="C31" s="117">
        <f>92%*B31</f>
        <v>138</v>
      </c>
      <c r="D31" s="117">
        <f>15.48%*C31</f>
        <v>21.362399999999997</v>
      </c>
      <c r="E31" s="117">
        <f>8.69%*C31</f>
        <v>11.992199999999999</v>
      </c>
      <c r="F31" s="117"/>
      <c r="G31" s="117">
        <f>4*(D31+F31)+9*E31</f>
        <v>193.37939999999998</v>
      </c>
    </row>
    <row r="32" spans="1:7" s="7" customFormat="1" ht="15" x14ac:dyDescent="0.3">
      <c r="A32" s="116" t="s">
        <v>26</v>
      </c>
      <c r="B32" s="117">
        <v>5</v>
      </c>
      <c r="C32" s="117">
        <f>100%*B32</f>
        <v>5</v>
      </c>
      <c r="D32" s="117"/>
      <c r="E32" s="117">
        <f>99.9%*C32</f>
        <v>4.995000000000001</v>
      </c>
      <c r="F32" s="117"/>
      <c r="G32" s="117">
        <f>4*(D32+F32)+9*E32</f>
        <v>44.955000000000013</v>
      </c>
    </row>
    <row r="33" spans="1:7" s="7" customFormat="1" ht="15" x14ac:dyDescent="0.3">
      <c r="A33" s="116" t="s">
        <v>80</v>
      </c>
      <c r="B33" s="117">
        <v>10</v>
      </c>
      <c r="C33" s="117">
        <f>B33*100%</f>
        <v>10</v>
      </c>
      <c r="D33" s="117">
        <f>C33*10%</f>
        <v>1</v>
      </c>
      <c r="E33" s="117">
        <f>C33*1.3%</f>
        <v>0.13</v>
      </c>
      <c r="F33" s="117">
        <f>C33*69%</f>
        <v>6.8999999999999995</v>
      </c>
      <c r="G33" s="117">
        <f>4*(D33+F33)+9*E33</f>
        <v>32.769999999999996</v>
      </c>
    </row>
    <row r="34" spans="1:7" s="7" customFormat="1" ht="23.25" customHeight="1" x14ac:dyDescent="0.3">
      <c r="A34" s="116" t="s">
        <v>11</v>
      </c>
      <c r="B34" s="117">
        <v>2</v>
      </c>
      <c r="C34" s="117">
        <f>100%*B34</f>
        <v>2</v>
      </c>
      <c r="D34" s="117"/>
      <c r="E34" s="117"/>
      <c r="F34" s="117"/>
      <c r="G34" s="117">
        <f>4*(D34+F34)+9*E34</f>
        <v>0</v>
      </c>
    </row>
    <row r="35" spans="1:7" s="7" customFormat="1" ht="15" x14ac:dyDescent="0.3">
      <c r="A35" s="118" t="s">
        <v>12</v>
      </c>
      <c r="B35" s="119">
        <v>97</v>
      </c>
      <c r="C35" s="120"/>
      <c r="D35" s="121">
        <f>SUM(D31:D34)</f>
        <v>22.362399999999997</v>
      </c>
      <c r="E35" s="121">
        <f>SUM(E31:E34)</f>
        <v>17.1172</v>
      </c>
      <c r="F35" s="121">
        <f>SUM(F31:F34)</f>
        <v>6.8999999999999995</v>
      </c>
      <c r="G35" s="121">
        <f>SUM(G31:G34)</f>
        <v>271.1044</v>
      </c>
    </row>
    <row r="36" spans="1:7" s="7" customFormat="1" ht="15" x14ac:dyDescent="0.3">
      <c r="A36" s="9"/>
    </row>
    <row r="37" spans="1:7" s="7" customFormat="1" ht="15" x14ac:dyDescent="0.3">
      <c r="A37" s="103" t="s">
        <v>97</v>
      </c>
      <c r="B37" s="103"/>
      <c r="C37" s="103"/>
      <c r="D37" s="103"/>
      <c r="E37" s="103"/>
      <c r="F37" s="103"/>
      <c r="G37" s="103"/>
    </row>
    <row r="38" spans="1:7" s="7" customFormat="1" ht="30" x14ac:dyDescent="0.3">
      <c r="A38" s="122" t="s">
        <v>0</v>
      </c>
      <c r="B38" s="122" t="s">
        <v>1</v>
      </c>
      <c r="C38" s="122"/>
      <c r="D38" s="123" t="s">
        <v>2</v>
      </c>
      <c r="E38" s="123" t="s">
        <v>3</v>
      </c>
      <c r="F38" s="122" t="s">
        <v>4</v>
      </c>
      <c r="G38" s="118" t="s">
        <v>5</v>
      </c>
    </row>
    <row r="39" spans="1:7" s="7" customFormat="1" ht="15" x14ac:dyDescent="0.3">
      <c r="A39" s="122"/>
      <c r="B39" s="118" t="s">
        <v>6</v>
      </c>
      <c r="C39" s="118" t="s">
        <v>7</v>
      </c>
      <c r="D39" s="124"/>
      <c r="E39" s="124"/>
      <c r="F39" s="122"/>
      <c r="G39" s="118" t="s">
        <v>8</v>
      </c>
    </row>
    <row r="40" spans="1:7" s="7" customFormat="1" ht="15" x14ac:dyDescent="0.3">
      <c r="A40" s="116" t="s">
        <v>21</v>
      </c>
      <c r="B40" s="117">
        <v>350</v>
      </c>
      <c r="C40" s="117">
        <f>72%*B40</f>
        <v>252</v>
      </c>
      <c r="D40" s="117">
        <f>2.1%*C40</f>
        <v>5.2920000000000007</v>
      </c>
      <c r="E40" s="117">
        <f>0.4%*C40</f>
        <v>1.008</v>
      </c>
      <c r="F40" s="117">
        <f>15.6%*C40</f>
        <v>39.311999999999998</v>
      </c>
      <c r="G40" s="117">
        <f>4*(D40+F40)+9*E40</f>
        <v>187.488</v>
      </c>
    </row>
    <row r="41" spans="1:7" s="7" customFormat="1" ht="15" x14ac:dyDescent="0.3">
      <c r="A41" s="116" t="s">
        <v>48</v>
      </c>
      <c r="B41" s="117">
        <v>50</v>
      </c>
      <c r="C41" s="117">
        <f>100%*B41</f>
        <v>50</v>
      </c>
      <c r="D41" s="117">
        <f>2.8%*C41</f>
        <v>1.4</v>
      </c>
      <c r="E41" s="117">
        <f>3.2%*C41</f>
        <v>1.6</v>
      </c>
      <c r="F41" s="117">
        <f>4.7%*C41</f>
        <v>2.35</v>
      </c>
      <c r="G41" s="117">
        <f>4*(D41+F41)+9*E41</f>
        <v>29.4</v>
      </c>
    </row>
    <row r="42" spans="1:7" s="7" customFormat="1" ht="15" x14ac:dyDescent="0.3">
      <c r="A42" s="116" t="s">
        <v>9</v>
      </c>
      <c r="B42" s="117">
        <v>5</v>
      </c>
      <c r="C42" s="117">
        <f>100%*B42</f>
        <v>5</v>
      </c>
      <c r="D42" s="117"/>
      <c r="E42" s="117">
        <f>72.57%*C42</f>
        <v>3.6284999999999994</v>
      </c>
      <c r="F42" s="117"/>
      <c r="G42" s="117">
        <f>4*(D42+F42)+9*E42</f>
        <v>32.656499999999994</v>
      </c>
    </row>
    <row r="43" spans="1:7" s="7" customFormat="1" ht="15" x14ac:dyDescent="0.3">
      <c r="A43" s="116" t="s">
        <v>11</v>
      </c>
      <c r="B43" s="117">
        <v>2</v>
      </c>
      <c r="C43" s="117">
        <f>100%*B43</f>
        <v>2</v>
      </c>
      <c r="D43" s="117"/>
      <c r="E43" s="117"/>
      <c r="F43" s="117"/>
      <c r="G43" s="117">
        <f>4*(D43+F43)+9*E43</f>
        <v>0</v>
      </c>
    </row>
    <row r="44" spans="1:7" s="7" customFormat="1" ht="15" x14ac:dyDescent="0.3">
      <c r="A44" s="118" t="s">
        <v>12</v>
      </c>
      <c r="B44" s="119">
        <v>250</v>
      </c>
      <c r="C44" s="120"/>
      <c r="D44" s="121">
        <f>SUM(D40:D43)</f>
        <v>6.6920000000000002</v>
      </c>
      <c r="E44" s="121">
        <f>SUM(E40:E43)</f>
        <v>6.2364999999999995</v>
      </c>
      <c r="F44" s="121">
        <f>SUM(F40:F43)</f>
        <v>41.661999999999999</v>
      </c>
      <c r="G44" s="121">
        <f>SUM(G40:G43)</f>
        <v>249.5445</v>
      </c>
    </row>
    <row r="45" spans="1:7" s="7" customFormat="1" ht="15" x14ac:dyDescent="0.3">
      <c r="A45" s="8"/>
      <c r="B45" s="1"/>
      <c r="C45" s="1"/>
      <c r="D45" s="1"/>
      <c r="E45" s="1"/>
      <c r="F45" s="1"/>
      <c r="G45" s="1"/>
    </row>
    <row r="46" spans="1:7" s="7" customFormat="1" ht="15" x14ac:dyDescent="0.3">
      <c r="A46" s="8"/>
      <c r="B46" s="1"/>
      <c r="C46" s="1"/>
      <c r="D46" s="1"/>
      <c r="E46" s="1"/>
      <c r="F46" s="1"/>
      <c r="G46" s="1"/>
    </row>
    <row r="47" spans="1:7" s="7" customFormat="1" ht="15" x14ac:dyDescent="0.3">
      <c r="A47" s="102" t="s">
        <v>98</v>
      </c>
      <c r="B47" s="102"/>
      <c r="C47" s="102"/>
      <c r="D47" s="102"/>
      <c r="E47" s="102"/>
      <c r="F47" s="102"/>
      <c r="G47" s="102"/>
    </row>
    <row r="48" spans="1:7" s="1" customFormat="1" ht="30" x14ac:dyDescent="0.3">
      <c r="A48" s="95" t="s">
        <v>0</v>
      </c>
      <c r="B48" s="95" t="s">
        <v>1</v>
      </c>
      <c r="C48" s="95"/>
      <c r="D48" s="97" t="s">
        <v>2</v>
      </c>
      <c r="E48" s="97" t="s">
        <v>3</v>
      </c>
      <c r="F48" s="95" t="s">
        <v>4</v>
      </c>
      <c r="G48" s="49" t="s">
        <v>5</v>
      </c>
    </row>
    <row r="49" spans="1:7" s="1" customFormat="1" ht="15" x14ac:dyDescent="0.3">
      <c r="A49" s="95"/>
      <c r="B49" s="49" t="s">
        <v>6</v>
      </c>
      <c r="C49" s="49" t="s">
        <v>7</v>
      </c>
      <c r="D49" s="98"/>
      <c r="E49" s="98"/>
      <c r="F49" s="95"/>
      <c r="G49" s="49" t="s">
        <v>8</v>
      </c>
    </row>
    <row r="50" spans="1:7" s="1" customFormat="1" ht="38.25" customHeight="1" x14ac:dyDescent="0.3">
      <c r="A50" s="50" t="s">
        <v>32</v>
      </c>
      <c r="B50" s="51">
        <v>70</v>
      </c>
      <c r="C50" s="51">
        <f>90%*B50</f>
        <v>63</v>
      </c>
      <c r="D50" s="51">
        <f>1.1%*C50</f>
        <v>0.69300000000000006</v>
      </c>
      <c r="E50" s="51">
        <f>0.2%*C50</f>
        <v>0.126</v>
      </c>
      <c r="F50" s="51">
        <f>3.8%*C50</f>
        <v>2.3940000000000001</v>
      </c>
      <c r="G50" s="51">
        <f>4*(D50+F50)+9*E50</f>
        <v>13.482000000000001</v>
      </c>
    </row>
    <row r="51" spans="1:7" s="1" customFormat="1" ht="15" x14ac:dyDescent="0.3">
      <c r="A51" s="50" t="s">
        <v>99</v>
      </c>
      <c r="B51" s="51">
        <v>14</v>
      </c>
      <c r="C51" s="51">
        <f>B51*80%</f>
        <v>11.200000000000001</v>
      </c>
      <c r="D51" s="51">
        <f>1.3%*C51</f>
        <v>0.14560000000000003</v>
      </c>
      <c r="E51" s="51"/>
      <c r="F51" s="51">
        <f>4.3%*C51</f>
        <v>0.48160000000000003</v>
      </c>
      <c r="G51" s="51">
        <f>4*(D51+F51)+9*E51</f>
        <v>2.5088000000000004</v>
      </c>
    </row>
    <row r="52" spans="1:7" s="1" customFormat="1" ht="15" x14ac:dyDescent="0.3">
      <c r="A52" s="50" t="s">
        <v>100</v>
      </c>
      <c r="B52" s="51">
        <v>14</v>
      </c>
      <c r="C52" s="51">
        <f>85%*B52</f>
        <v>11.9</v>
      </c>
      <c r="D52" s="51"/>
      <c r="E52" s="51"/>
      <c r="F52" s="51"/>
      <c r="G52" s="51">
        <f>4*(D52+F52)+9*E52</f>
        <v>0</v>
      </c>
    </row>
    <row r="53" spans="1:7" s="1" customFormat="1" ht="15" x14ac:dyDescent="0.3">
      <c r="A53" s="50" t="s">
        <v>26</v>
      </c>
      <c r="B53" s="51">
        <v>3</v>
      </c>
      <c r="C53" s="51">
        <f>100%*B53</f>
        <v>3</v>
      </c>
      <c r="D53" s="51"/>
      <c r="E53" s="51">
        <f>99.9%*C53</f>
        <v>2.9970000000000003</v>
      </c>
      <c r="F53" s="51"/>
      <c r="G53" s="51">
        <f>4*(D53+F53)+9*E53</f>
        <v>26.973000000000003</v>
      </c>
    </row>
    <row r="54" spans="1:7" s="1" customFormat="1" ht="15" x14ac:dyDescent="0.3">
      <c r="A54" s="50" t="s">
        <v>11</v>
      </c>
      <c r="B54" s="51">
        <v>1</v>
      </c>
      <c r="C54" s="51">
        <f>100%*B54</f>
        <v>1</v>
      </c>
      <c r="D54" s="51"/>
      <c r="E54" s="51"/>
      <c r="F54" s="51"/>
      <c r="G54" s="51">
        <f>4*(D54+F54)+9*E54</f>
        <v>0</v>
      </c>
    </row>
    <row r="55" spans="1:7" s="1" customFormat="1" ht="15" x14ac:dyDescent="0.3">
      <c r="A55" s="49" t="s">
        <v>12</v>
      </c>
      <c r="B55" s="99">
        <v>200</v>
      </c>
      <c r="C55" s="100"/>
      <c r="D55" s="52">
        <f>SUM(D50:D54)</f>
        <v>0.83860000000000012</v>
      </c>
      <c r="E55" s="52">
        <f>SUM(E50:E54)</f>
        <v>3.1230000000000002</v>
      </c>
      <c r="F55" s="52">
        <f>SUM(F50:F54)</f>
        <v>2.8756000000000004</v>
      </c>
      <c r="G55" s="52">
        <f>SUM(G50:G54)</f>
        <v>42.963800000000006</v>
      </c>
    </row>
    <row r="56" spans="1:7" s="1" customFormat="1" ht="15" x14ac:dyDescent="0.3">
      <c r="A56" s="50" t="s">
        <v>62</v>
      </c>
      <c r="B56" s="51">
        <v>200</v>
      </c>
      <c r="C56" s="51">
        <f>100%*B56</f>
        <v>200</v>
      </c>
      <c r="D56" s="51">
        <f>0.66%*C56</f>
        <v>1.32</v>
      </c>
      <c r="E56" s="51"/>
      <c r="F56" s="51">
        <f>17.3%*C56</f>
        <v>34.6</v>
      </c>
      <c r="G56" s="51">
        <f>4*(D56+F56)+9*E56</f>
        <v>143.68</v>
      </c>
    </row>
    <row r="57" spans="1:7" s="1" customFormat="1" ht="15" x14ac:dyDescent="0.3">
      <c r="A57" s="125" t="s">
        <v>49</v>
      </c>
      <c r="B57" s="126">
        <v>250</v>
      </c>
      <c r="C57" s="126">
        <v>250</v>
      </c>
      <c r="D57" s="126">
        <f>C57*7.9%</f>
        <v>19.75</v>
      </c>
      <c r="E57" s="126">
        <f>C57*1%</f>
        <v>2.5</v>
      </c>
      <c r="F57" s="126">
        <f>C57*49.6%</f>
        <v>124</v>
      </c>
      <c r="G57" s="126">
        <f>4*(D57+F57)+9*E57</f>
        <v>597.5</v>
      </c>
    </row>
    <row r="58" spans="1:7" s="1" customFormat="1" ht="15" x14ac:dyDescent="0.3"/>
    <row r="59" spans="1:7" s="1" customFormat="1" ht="15" x14ac:dyDescent="0.3">
      <c r="A59" s="8"/>
    </row>
    <row r="60" spans="1:7" s="1" customFormat="1" ht="15" x14ac:dyDescent="0.3">
      <c r="A60" s="102" t="s">
        <v>61</v>
      </c>
      <c r="B60" s="102"/>
      <c r="C60" s="102"/>
      <c r="D60" s="102"/>
      <c r="E60" s="102"/>
      <c r="F60" s="102"/>
      <c r="G60" s="102"/>
    </row>
    <row r="61" spans="1:7" s="1" customFormat="1" ht="30" x14ac:dyDescent="0.3">
      <c r="A61" s="95" t="s">
        <v>0</v>
      </c>
      <c r="B61" s="95" t="s">
        <v>1</v>
      </c>
      <c r="C61" s="95"/>
      <c r="D61" s="97" t="s">
        <v>2</v>
      </c>
      <c r="E61" s="97" t="s">
        <v>3</v>
      </c>
      <c r="F61" s="95" t="s">
        <v>36</v>
      </c>
      <c r="G61" s="49" t="s">
        <v>5</v>
      </c>
    </row>
    <row r="62" spans="1:7" s="1" customFormat="1" ht="15" x14ac:dyDescent="0.3">
      <c r="A62" s="95"/>
      <c r="B62" s="49" t="s">
        <v>6</v>
      </c>
      <c r="C62" s="49" t="s">
        <v>7</v>
      </c>
      <c r="D62" s="98"/>
      <c r="E62" s="98"/>
      <c r="F62" s="95"/>
      <c r="G62" s="49" t="s">
        <v>8</v>
      </c>
    </row>
    <row r="63" spans="1:7" s="1" customFormat="1" ht="26.25" customHeight="1" x14ac:dyDescent="0.3">
      <c r="A63" s="50" t="s">
        <v>61</v>
      </c>
      <c r="B63" s="51">
        <v>30</v>
      </c>
      <c r="C63" s="51">
        <f>100%*B63</f>
        <v>30</v>
      </c>
      <c r="D63" s="51"/>
      <c r="E63" s="51"/>
      <c r="F63" s="51"/>
      <c r="G63" s="51"/>
    </row>
    <row r="64" spans="1:7" s="1" customFormat="1" ht="15" x14ac:dyDescent="0.3">
      <c r="A64" s="113"/>
      <c r="B64" s="46"/>
      <c r="C64" s="46"/>
      <c r="D64" s="46"/>
      <c r="E64" s="46"/>
      <c r="F64" s="46"/>
      <c r="G64" s="46"/>
    </row>
    <row r="65" spans="1:7" s="1" customFormat="1" ht="15" x14ac:dyDescent="0.3">
      <c r="A65" s="111"/>
      <c r="B65" s="111"/>
      <c r="C65" s="111"/>
      <c r="D65" s="112"/>
      <c r="E65" s="112"/>
      <c r="F65" s="112"/>
      <c r="G65" s="112"/>
    </row>
    <row r="66" spans="1:7" s="1" customFormat="1" ht="15" x14ac:dyDescent="0.3">
      <c r="A66" s="114" t="s">
        <v>128</v>
      </c>
      <c r="B66" s="96">
        <f>C63+C57+B55+B44+B35</f>
        <v>827</v>
      </c>
      <c r="C66" s="96"/>
      <c r="D66" s="58">
        <f t="shared" ref="D66:F66" si="1">D63+D57+D55+D44+D35+D56</f>
        <v>50.963000000000001</v>
      </c>
      <c r="E66" s="58">
        <f t="shared" si="1"/>
        <v>28.976700000000001</v>
      </c>
      <c r="F66" s="58">
        <f t="shared" si="1"/>
        <v>210.0376</v>
      </c>
      <c r="G66" s="58">
        <f>G63+G57+G55+G44+G35+G56</f>
        <v>1304.7927</v>
      </c>
    </row>
    <row r="67" spans="1:7" s="1" customFormat="1" ht="15" x14ac:dyDescent="0.3">
      <c r="A67" s="8"/>
    </row>
    <row r="68" spans="1:7" s="1" customFormat="1" ht="15" x14ac:dyDescent="0.3">
      <c r="A68" s="115" t="s">
        <v>130</v>
      </c>
    </row>
    <row r="69" spans="1:7" s="4" customFormat="1" ht="15" x14ac:dyDescent="0.3">
      <c r="A69" s="8"/>
      <c r="B69" s="1"/>
      <c r="C69" s="1"/>
      <c r="D69" s="1"/>
      <c r="E69" s="1"/>
      <c r="F69" s="1"/>
      <c r="G69" s="1"/>
    </row>
    <row r="70" spans="1:7" s="1" customFormat="1" ht="15" x14ac:dyDescent="0.3">
      <c r="A70" s="102" t="s">
        <v>110</v>
      </c>
      <c r="B70" s="102"/>
      <c r="C70" s="102"/>
      <c r="D70" s="102"/>
      <c r="E70" s="102"/>
      <c r="F70" s="102"/>
      <c r="G70" s="102"/>
    </row>
    <row r="71" spans="1:7" s="1" customFormat="1" ht="30" x14ac:dyDescent="0.3">
      <c r="A71" s="95" t="s">
        <v>0</v>
      </c>
      <c r="B71" s="95" t="s">
        <v>1</v>
      </c>
      <c r="C71" s="95"/>
      <c r="D71" s="97" t="s">
        <v>2</v>
      </c>
      <c r="E71" s="97" t="s">
        <v>3</v>
      </c>
      <c r="F71" s="95" t="s">
        <v>4</v>
      </c>
      <c r="G71" s="49" t="s">
        <v>5</v>
      </c>
    </row>
    <row r="72" spans="1:7" s="1" customFormat="1" ht="15" x14ac:dyDescent="0.3">
      <c r="A72" s="95"/>
      <c r="B72" s="49" t="s">
        <v>6</v>
      </c>
      <c r="C72" s="49" t="s">
        <v>7</v>
      </c>
      <c r="D72" s="98"/>
      <c r="E72" s="98"/>
      <c r="F72" s="95"/>
      <c r="G72" s="49" t="s">
        <v>8</v>
      </c>
    </row>
    <row r="73" spans="1:7" s="1" customFormat="1" ht="15" x14ac:dyDescent="0.3">
      <c r="A73" s="50" t="s">
        <v>21</v>
      </c>
      <c r="B73" s="51">
        <v>130</v>
      </c>
      <c r="C73" s="51">
        <f>72%*B73</f>
        <v>93.6</v>
      </c>
      <c r="D73" s="51">
        <f>2.1%*C73</f>
        <v>1.9656</v>
      </c>
      <c r="E73" s="51">
        <f>0.4%*C73</f>
        <v>0.37440000000000001</v>
      </c>
      <c r="F73" s="51">
        <f>15.6%*C73</f>
        <v>14.601599999999999</v>
      </c>
      <c r="G73" s="51">
        <f>4*(D73+F73)+9*E73</f>
        <v>69.638400000000004</v>
      </c>
    </row>
    <row r="74" spans="1:7" s="1" customFormat="1" ht="15" x14ac:dyDescent="0.3">
      <c r="A74" s="50" t="s">
        <v>23</v>
      </c>
      <c r="B74" s="51">
        <v>60</v>
      </c>
      <c r="C74" s="51">
        <f>80%*B74</f>
        <v>48</v>
      </c>
      <c r="D74" s="51">
        <f>1.77%*C74</f>
        <v>0.84960000000000002</v>
      </c>
      <c r="E74" s="51"/>
      <c r="F74" s="51">
        <f>11%*C74</f>
        <v>5.28</v>
      </c>
      <c r="G74" s="51">
        <f>4*(D74+F74)+9*E74</f>
        <v>24.5184</v>
      </c>
    </row>
    <row r="75" spans="1:7" s="1" customFormat="1" ht="15" x14ac:dyDescent="0.3">
      <c r="A75" s="50" t="s">
        <v>9</v>
      </c>
      <c r="B75" s="51">
        <v>3</v>
      </c>
      <c r="C75" s="51">
        <f>100%*B75</f>
        <v>3</v>
      </c>
      <c r="D75" s="51"/>
      <c r="E75" s="51">
        <f>72.57%*C75</f>
        <v>2.1770999999999998</v>
      </c>
      <c r="F75" s="51"/>
      <c r="G75" s="51">
        <f>4*(D75+F75)+9*E75</f>
        <v>19.593899999999998</v>
      </c>
    </row>
    <row r="76" spans="1:7" s="1" customFormat="1" ht="15" x14ac:dyDescent="0.3">
      <c r="A76" s="49" t="s">
        <v>12</v>
      </c>
      <c r="B76" s="99">
        <v>150</v>
      </c>
      <c r="C76" s="100"/>
      <c r="D76" s="52">
        <f>SUM(D73:D75)</f>
        <v>2.8151999999999999</v>
      </c>
      <c r="E76" s="52">
        <f>SUM(E73:E75)</f>
        <v>2.5514999999999999</v>
      </c>
      <c r="F76" s="52">
        <f>SUM(F73:F75)</f>
        <v>19.881599999999999</v>
      </c>
      <c r="G76" s="52">
        <f>SUM(G73:G75)</f>
        <v>113.75069999999999</v>
      </c>
    </row>
    <row r="77" spans="1:7" s="1" customFormat="1" ht="15" x14ac:dyDescent="0.3">
      <c r="A77" s="63"/>
      <c r="B77" s="68"/>
      <c r="C77" s="68"/>
      <c r="D77" s="64"/>
      <c r="E77" s="64"/>
      <c r="F77" s="64"/>
      <c r="G77" s="64"/>
    </row>
    <row r="78" spans="1:7" s="1" customFormat="1" ht="15" x14ac:dyDescent="0.3">
      <c r="A78" s="103" t="s">
        <v>118</v>
      </c>
      <c r="B78" s="103"/>
      <c r="C78" s="103"/>
      <c r="D78" s="103"/>
      <c r="E78" s="103"/>
      <c r="F78" s="103"/>
      <c r="G78" s="103"/>
    </row>
    <row r="79" spans="1:7" s="1" customFormat="1" ht="30" x14ac:dyDescent="0.3">
      <c r="A79" s="95" t="s">
        <v>0</v>
      </c>
      <c r="B79" s="95" t="s">
        <v>1</v>
      </c>
      <c r="C79" s="95"/>
      <c r="D79" s="97" t="s">
        <v>2</v>
      </c>
      <c r="E79" s="97" t="s">
        <v>3</v>
      </c>
      <c r="F79" s="95" t="s">
        <v>4</v>
      </c>
      <c r="G79" s="49" t="s">
        <v>5</v>
      </c>
    </row>
    <row r="80" spans="1:7" s="1" customFormat="1" ht="15" x14ac:dyDescent="0.3">
      <c r="A80" s="95"/>
      <c r="B80" s="49" t="s">
        <v>6</v>
      </c>
      <c r="C80" s="49" t="s">
        <v>7</v>
      </c>
      <c r="D80" s="98"/>
      <c r="E80" s="98"/>
      <c r="F80" s="95"/>
      <c r="G80" s="49" t="s">
        <v>8</v>
      </c>
    </row>
    <row r="81" spans="1:7" s="1" customFormat="1" ht="15" x14ac:dyDescent="0.3">
      <c r="A81" s="50" t="s">
        <v>21</v>
      </c>
      <c r="B81" s="51">
        <v>100</v>
      </c>
      <c r="C81" s="51">
        <f>72%*B81</f>
        <v>72</v>
      </c>
      <c r="D81" s="51">
        <f>2.1%*C81</f>
        <v>1.512</v>
      </c>
      <c r="E81" s="51">
        <f>0.4%*C81</f>
        <v>0.28800000000000003</v>
      </c>
      <c r="F81" s="51">
        <f>15.6%*C81</f>
        <v>11.231999999999999</v>
      </c>
      <c r="G81" s="51">
        <f t="shared" ref="G81:G87" si="2">4*(D81+F81)+9*E81</f>
        <v>53.567999999999998</v>
      </c>
    </row>
    <row r="82" spans="1:7" s="1" customFormat="1" ht="15" x14ac:dyDescent="0.3">
      <c r="A82" s="50" t="s">
        <v>17</v>
      </c>
      <c r="B82" s="51">
        <v>30</v>
      </c>
      <c r="C82" s="51">
        <f>100%*B82</f>
        <v>30</v>
      </c>
      <c r="D82" s="51">
        <f>2.6%*C82</f>
        <v>0.78</v>
      </c>
      <c r="E82" s="51">
        <f>10%*C82</f>
        <v>3</v>
      </c>
      <c r="F82" s="51">
        <f>3.8%*C82</f>
        <v>1.1399999999999999</v>
      </c>
      <c r="G82" s="51">
        <f t="shared" si="2"/>
        <v>34.68</v>
      </c>
    </row>
    <row r="83" spans="1:7" s="1" customFormat="1" ht="15" x14ac:dyDescent="0.3">
      <c r="A83" s="50" t="s">
        <v>22</v>
      </c>
      <c r="B83" s="51">
        <v>50</v>
      </c>
      <c r="C83" s="51">
        <f>90%*B83</f>
        <v>45</v>
      </c>
      <c r="D83" s="51">
        <f>1.66%*C83</f>
        <v>0.747</v>
      </c>
      <c r="E83" s="51"/>
      <c r="F83" s="51">
        <f>10%*C83</f>
        <v>4.5</v>
      </c>
      <c r="G83" s="51">
        <f t="shared" si="2"/>
        <v>20.988</v>
      </c>
    </row>
    <row r="84" spans="1:7" s="1" customFormat="1" ht="15" x14ac:dyDescent="0.3">
      <c r="A84" s="50" t="s">
        <v>23</v>
      </c>
      <c r="B84" s="51">
        <v>50</v>
      </c>
      <c r="C84" s="51">
        <f>80%*B84</f>
        <v>40</v>
      </c>
      <c r="D84" s="51">
        <f>1.77%*C84</f>
        <v>0.70799999999999996</v>
      </c>
      <c r="E84" s="51"/>
      <c r="F84" s="51">
        <f>11%*C84</f>
        <v>4.4000000000000004</v>
      </c>
      <c r="G84" s="51">
        <f t="shared" si="2"/>
        <v>20.432000000000002</v>
      </c>
    </row>
    <row r="85" spans="1:7" s="1" customFormat="1" ht="15" x14ac:dyDescent="0.3">
      <c r="A85" s="50" t="s">
        <v>15</v>
      </c>
      <c r="B85" s="51">
        <v>5</v>
      </c>
      <c r="C85" s="51">
        <f>90%*B85</f>
        <v>4.5</v>
      </c>
      <c r="D85" s="51">
        <f>1.58%*C85</f>
        <v>7.110000000000001E-2</v>
      </c>
      <c r="E85" s="51"/>
      <c r="F85" s="51">
        <f>9.5%*C85</f>
        <v>0.42749999999999999</v>
      </c>
      <c r="G85" s="51">
        <f t="shared" si="2"/>
        <v>1.9944</v>
      </c>
    </row>
    <row r="86" spans="1:7" s="1" customFormat="1" ht="15" x14ac:dyDescent="0.3">
      <c r="A86" s="50" t="s">
        <v>19</v>
      </c>
      <c r="B86" s="51">
        <v>4</v>
      </c>
      <c r="C86" s="51">
        <f>85%*B86</f>
        <v>3.4</v>
      </c>
      <c r="D86" s="51"/>
      <c r="E86" s="51"/>
      <c r="F86" s="51"/>
      <c r="G86" s="51">
        <f t="shared" si="2"/>
        <v>0</v>
      </c>
    </row>
    <row r="87" spans="1:7" s="1" customFormat="1" ht="15" x14ac:dyDescent="0.3">
      <c r="A87" s="50" t="s">
        <v>11</v>
      </c>
      <c r="B87" s="51">
        <v>1</v>
      </c>
      <c r="C87" s="51">
        <f>100%*B87</f>
        <v>1</v>
      </c>
      <c r="D87" s="51"/>
      <c r="E87" s="51"/>
      <c r="F87" s="51"/>
      <c r="G87" s="51">
        <f t="shared" si="2"/>
        <v>0</v>
      </c>
    </row>
    <row r="88" spans="1:7" s="1" customFormat="1" ht="15" x14ac:dyDescent="0.3">
      <c r="A88" s="49" t="s">
        <v>12</v>
      </c>
      <c r="B88" s="99">
        <v>180</v>
      </c>
      <c r="C88" s="100"/>
      <c r="D88" s="52">
        <f>SUM(D81:D87)</f>
        <v>3.8180999999999998</v>
      </c>
      <c r="E88" s="52">
        <f>SUM(E81:E87)</f>
        <v>3.2880000000000003</v>
      </c>
      <c r="F88" s="52">
        <f>SUM(F81:F87)</f>
        <v>21.699499999999997</v>
      </c>
      <c r="G88" s="52">
        <f>SUM(G81:G87)</f>
        <v>131.66240000000002</v>
      </c>
    </row>
    <row r="89" spans="1:7" s="1" customFormat="1" ht="15" x14ac:dyDescent="0.3">
      <c r="A89" s="113"/>
      <c r="B89" s="46"/>
      <c r="C89" s="46"/>
      <c r="D89" s="46"/>
      <c r="E89" s="46"/>
      <c r="F89" s="46"/>
      <c r="G89" s="46"/>
    </row>
    <row r="90" spans="1:7" s="1" customFormat="1" ht="15" x14ac:dyDescent="0.3">
      <c r="A90" s="115"/>
    </row>
    <row r="91" spans="1:7" ht="15" x14ac:dyDescent="0.2">
      <c r="A91" s="102" t="s">
        <v>101</v>
      </c>
      <c r="B91" s="102"/>
      <c r="C91" s="102"/>
      <c r="D91" s="102"/>
      <c r="E91" s="102"/>
      <c r="F91" s="102"/>
      <c r="G91" s="102"/>
    </row>
    <row r="92" spans="1:7" s="1" customFormat="1" ht="30" x14ac:dyDescent="0.3">
      <c r="A92" s="95" t="s">
        <v>0</v>
      </c>
      <c r="B92" s="95" t="s">
        <v>1</v>
      </c>
      <c r="C92" s="95"/>
      <c r="D92" s="97" t="s">
        <v>2</v>
      </c>
      <c r="E92" s="97" t="s">
        <v>3</v>
      </c>
      <c r="F92" s="95" t="s">
        <v>36</v>
      </c>
      <c r="G92" s="49" t="s">
        <v>5</v>
      </c>
    </row>
    <row r="93" spans="1:7" s="1" customFormat="1" ht="15" x14ac:dyDescent="0.3">
      <c r="A93" s="95"/>
      <c r="B93" s="49" t="s">
        <v>6</v>
      </c>
      <c r="C93" s="49" t="s">
        <v>7</v>
      </c>
      <c r="D93" s="98"/>
      <c r="E93" s="98"/>
      <c r="F93" s="95"/>
      <c r="G93" s="49" t="s">
        <v>8</v>
      </c>
    </row>
    <row r="94" spans="1:7" s="1" customFormat="1" ht="15" x14ac:dyDescent="0.3">
      <c r="A94" s="110" t="s">
        <v>102</v>
      </c>
      <c r="B94" s="51">
        <v>220</v>
      </c>
      <c r="C94" s="51">
        <f>B94*75%</f>
        <v>165</v>
      </c>
      <c r="D94" s="51">
        <f>18.6%*C94</f>
        <v>30.690000000000005</v>
      </c>
      <c r="E94" s="51">
        <f>17.3%*C94</f>
        <v>28.545000000000002</v>
      </c>
      <c r="F94" s="51"/>
      <c r="G94" s="51">
        <f>4*(D94+F94)+9*E94</f>
        <v>379.66500000000008</v>
      </c>
    </row>
    <row r="95" spans="1:7" s="1" customFormat="1" ht="15" x14ac:dyDescent="0.3">
      <c r="A95" s="110" t="s">
        <v>13</v>
      </c>
      <c r="B95" s="51">
        <v>20</v>
      </c>
      <c r="C95" s="51">
        <f>B95*100%</f>
        <v>20</v>
      </c>
      <c r="D95" s="51">
        <f>C95*7.9%</f>
        <v>1.58</v>
      </c>
      <c r="E95" s="51">
        <f>C95*1%</f>
        <v>0.2</v>
      </c>
      <c r="F95" s="51">
        <f>C95*49.6%</f>
        <v>9.92</v>
      </c>
      <c r="G95" s="51">
        <f>4*(D95+F95)+9*E95</f>
        <v>47.8</v>
      </c>
    </row>
    <row r="96" spans="1:7" s="1" customFormat="1" ht="15" x14ac:dyDescent="0.3">
      <c r="A96" s="110" t="s">
        <v>19</v>
      </c>
      <c r="B96" s="51">
        <v>10</v>
      </c>
      <c r="C96" s="51">
        <f>85%*B96</f>
        <v>8.5</v>
      </c>
      <c r="D96" s="51"/>
      <c r="E96" s="51"/>
      <c r="F96" s="51"/>
      <c r="G96" s="51">
        <f>4*(D96+F96)+9*E96</f>
        <v>0</v>
      </c>
    </row>
    <row r="97" spans="1:8" s="1" customFormat="1" ht="15" x14ac:dyDescent="0.3">
      <c r="A97" s="50" t="s">
        <v>15</v>
      </c>
      <c r="B97" s="51">
        <v>20</v>
      </c>
      <c r="C97" s="51">
        <f>90%*B97</f>
        <v>18</v>
      </c>
      <c r="D97" s="51">
        <f>1.58%*C97</f>
        <v>0.28440000000000004</v>
      </c>
      <c r="E97" s="51"/>
      <c r="F97" s="51">
        <f>9.5%*C97</f>
        <v>1.71</v>
      </c>
      <c r="G97" s="51">
        <f>4*(D97+F97)+9*E97</f>
        <v>7.9775999999999998</v>
      </c>
    </row>
    <row r="98" spans="1:8" s="1" customFormat="1" ht="15" x14ac:dyDescent="0.3">
      <c r="A98" s="50" t="s">
        <v>18</v>
      </c>
      <c r="B98" s="51">
        <v>1</v>
      </c>
      <c r="C98" s="51">
        <v>0.9</v>
      </c>
      <c r="D98" s="51"/>
      <c r="E98" s="51"/>
      <c r="F98" s="51"/>
      <c r="G98" s="51">
        <v>0</v>
      </c>
    </row>
    <row r="99" spans="1:8" s="1" customFormat="1" ht="15" x14ac:dyDescent="0.3">
      <c r="A99" s="110" t="s">
        <v>26</v>
      </c>
      <c r="B99" s="51">
        <v>7</v>
      </c>
      <c r="C99" s="51">
        <f>100%*B99</f>
        <v>7</v>
      </c>
      <c r="D99" s="51"/>
      <c r="E99" s="51">
        <f>99.9%*C99</f>
        <v>6.9930000000000003</v>
      </c>
      <c r="F99" s="51"/>
      <c r="G99" s="51">
        <f>4*(D99+F99)+9*E99</f>
        <v>62.937000000000005</v>
      </c>
    </row>
    <row r="100" spans="1:8" s="1" customFormat="1" ht="15" x14ac:dyDescent="0.3">
      <c r="A100" s="50" t="s">
        <v>11</v>
      </c>
      <c r="B100" s="51">
        <v>1</v>
      </c>
      <c r="C100" s="51">
        <f>100%*B100</f>
        <v>1</v>
      </c>
      <c r="D100" s="51"/>
      <c r="E100" s="51"/>
      <c r="F100" s="51"/>
      <c r="G100" s="51">
        <f>4*(D100+F100)+9*E100</f>
        <v>0</v>
      </c>
    </row>
    <row r="101" spans="1:8" s="1" customFormat="1" ht="15" x14ac:dyDescent="0.3">
      <c r="A101" s="49" t="s">
        <v>12</v>
      </c>
      <c r="B101" s="99">
        <v>200</v>
      </c>
      <c r="C101" s="100"/>
      <c r="D101" s="52">
        <f>SUM(D94:D100)</f>
        <v>32.554400000000001</v>
      </c>
      <c r="E101" s="52">
        <f>SUM(E94:E100)</f>
        <v>35.738</v>
      </c>
      <c r="F101" s="52">
        <f>SUM(F94:F100)</f>
        <v>11.629999999999999</v>
      </c>
      <c r="G101" s="52">
        <f>SUM(G94:G100)</f>
        <v>498.3796000000001</v>
      </c>
    </row>
    <row r="102" spans="1:8" s="1" customFormat="1" ht="15" x14ac:dyDescent="0.3">
      <c r="A102" s="8"/>
    </row>
    <row r="103" spans="1:8" s="1" customFormat="1" ht="15" x14ac:dyDescent="0.3">
      <c r="A103" s="125" t="s">
        <v>103</v>
      </c>
      <c r="B103" s="52">
        <v>250</v>
      </c>
      <c r="C103" s="52">
        <v>250</v>
      </c>
      <c r="D103" s="52">
        <f>C103*7.9%</f>
        <v>19.75</v>
      </c>
      <c r="E103" s="52">
        <f>C103*1%</f>
        <v>2.5</v>
      </c>
      <c r="F103" s="52">
        <f>C103*49.6%</f>
        <v>124</v>
      </c>
      <c r="G103" s="52">
        <f>4*(D103+F103)+9*E103</f>
        <v>597.5</v>
      </c>
    </row>
    <row r="104" spans="1:8" s="1" customFormat="1" ht="15" x14ac:dyDescent="0.3">
      <c r="A104" s="113"/>
      <c r="B104" s="46"/>
      <c r="C104" s="46"/>
      <c r="D104" s="46"/>
      <c r="E104" s="46"/>
      <c r="F104" s="46"/>
      <c r="G104" s="46"/>
    </row>
    <row r="105" spans="1:8" s="129" customFormat="1" ht="15" x14ac:dyDescent="0.3">
      <c r="A105" s="127" t="s">
        <v>86</v>
      </c>
      <c r="B105" s="127"/>
      <c r="C105" s="127"/>
      <c r="D105" s="127"/>
      <c r="E105" s="127"/>
      <c r="F105" s="127"/>
      <c r="G105" s="127"/>
      <c r="H105" s="128"/>
    </row>
    <row r="106" spans="1:8" s="129" customFormat="1" ht="30" x14ac:dyDescent="0.3">
      <c r="A106" s="130" t="s">
        <v>0</v>
      </c>
      <c r="B106" s="130" t="s">
        <v>1</v>
      </c>
      <c r="C106" s="130"/>
      <c r="D106" s="131" t="s">
        <v>2</v>
      </c>
      <c r="E106" s="131" t="s">
        <v>3</v>
      </c>
      <c r="F106" s="130" t="s">
        <v>4</v>
      </c>
      <c r="G106" s="132" t="s">
        <v>5</v>
      </c>
      <c r="H106" s="128"/>
    </row>
    <row r="107" spans="1:8" ht="15" x14ac:dyDescent="0.2">
      <c r="A107" s="130"/>
      <c r="B107" s="132" t="s">
        <v>6</v>
      </c>
      <c r="C107" s="132" t="s">
        <v>7</v>
      </c>
      <c r="D107" s="133"/>
      <c r="E107" s="133"/>
      <c r="F107" s="130"/>
      <c r="G107" s="132" t="s">
        <v>8</v>
      </c>
    </row>
    <row r="108" spans="1:8" s="129" customFormat="1" ht="15" x14ac:dyDescent="0.3">
      <c r="A108" s="134" t="s">
        <v>87</v>
      </c>
      <c r="B108" s="135">
        <v>25</v>
      </c>
      <c r="C108" s="135">
        <f>100%*B108</f>
        <v>25</v>
      </c>
      <c r="D108" s="135">
        <f>1.6%*C108</f>
        <v>0.4</v>
      </c>
      <c r="E108" s="135"/>
      <c r="F108" s="135">
        <f>40%*C108</f>
        <v>10</v>
      </c>
      <c r="G108" s="135">
        <f>4*(D108+F108)+9*E108</f>
        <v>41.6</v>
      </c>
    </row>
    <row r="109" spans="1:8" s="129" customFormat="1" ht="15" x14ac:dyDescent="0.3">
      <c r="A109" s="134" t="s">
        <v>10</v>
      </c>
      <c r="B109" s="135">
        <v>10</v>
      </c>
      <c r="C109" s="135">
        <f>100%*B109</f>
        <v>10</v>
      </c>
      <c r="D109" s="135"/>
      <c r="E109" s="135"/>
      <c r="F109" s="135">
        <f>99%*C109</f>
        <v>9.9</v>
      </c>
      <c r="G109" s="135">
        <f>4*(D109+F109)+9*E109</f>
        <v>39.6</v>
      </c>
    </row>
    <row r="110" spans="1:8" s="129" customFormat="1" ht="15" x14ac:dyDescent="0.3">
      <c r="A110" s="136" t="s">
        <v>12</v>
      </c>
      <c r="B110" s="137">
        <v>200</v>
      </c>
      <c r="C110" s="138"/>
      <c r="D110" s="139">
        <f>SUM(D108:D109)</f>
        <v>0.4</v>
      </c>
      <c r="E110" s="139">
        <f>SUM(E108:E109)</f>
        <v>0</v>
      </c>
      <c r="F110" s="139">
        <f>SUM(F108:F109)</f>
        <v>19.899999999999999</v>
      </c>
      <c r="G110" s="139">
        <f>SUM(G108:G109)</f>
        <v>81.2</v>
      </c>
    </row>
    <row r="111" spans="1:8" s="1" customFormat="1" ht="15" x14ac:dyDescent="0.3">
      <c r="A111" s="113"/>
      <c r="B111" s="46"/>
      <c r="C111" s="46"/>
      <c r="D111" s="46"/>
      <c r="E111" s="46"/>
      <c r="F111" s="46"/>
      <c r="G111" s="46"/>
    </row>
    <row r="112" spans="1:8" s="1" customFormat="1" ht="15" x14ac:dyDescent="0.3">
      <c r="A112" s="114" t="s">
        <v>131</v>
      </c>
      <c r="B112" s="96">
        <f>C103+B101+B88+B76+B110</f>
        <v>980</v>
      </c>
      <c r="C112" s="96"/>
      <c r="D112" s="58">
        <f>D103+D101+D88+D76+D110</f>
        <v>59.337699999999998</v>
      </c>
      <c r="E112" s="58">
        <f>E103+E101+E88+E76+E110</f>
        <v>44.077499999999993</v>
      </c>
      <c r="F112" s="58">
        <f>F103+F101+F88+F76+F110</f>
        <v>197.11109999999999</v>
      </c>
      <c r="G112" s="58">
        <f>G103+G101+G88+G76+G110</f>
        <v>1422.4927000000002</v>
      </c>
    </row>
    <row r="113" spans="1:7" s="1" customFormat="1" ht="15" x14ac:dyDescent="0.3">
      <c r="A113" s="8"/>
    </row>
    <row r="114" spans="1:7" ht="15" x14ac:dyDescent="0.3">
      <c r="A114" s="8"/>
      <c r="B114" s="1"/>
      <c r="C114" s="1"/>
      <c r="D114" s="1"/>
      <c r="E114" s="1"/>
      <c r="F114" s="1"/>
      <c r="G114" s="1"/>
    </row>
    <row r="115" spans="1:7" ht="15" x14ac:dyDescent="0.3">
      <c r="A115" s="114" t="s">
        <v>122</v>
      </c>
      <c r="B115" s="101">
        <f>B112+B66+B24</f>
        <v>2207</v>
      </c>
      <c r="C115" s="101"/>
      <c r="D115" s="67">
        <f>D112+D66+D24</f>
        <v>120.17134</v>
      </c>
      <c r="E115" s="67">
        <f>E112+E66+E24</f>
        <v>82.651199999999989</v>
      </c>
      <c r="F115" s="67">
        <f>F112+F66+F24</f>
        <v>455.20469999999995</v>
      </c>
      <c r="G115" s="67">
        <f>G112+G66+G24</f>
        <v>3045.3649600000003</v>
      </c>
    </row>
    <row r="116" spans="1:7" s="1" customFormat="1" ht="15" x14ac:dyDescent="0.3">
      <c r="A116" s="113"/>
      <c r="B116" s="46"/>
      <c r="C116" s="46"/>
      <c r="D116" s="46"/>
      <c r="E116" s="46"/>
      <c r="F116" s="46"/>
      <c r="G116" s="46"/>
    </row>
    <row r="117" spans="1:7" s="1" customFormat="1" ht="15" x14ac:dyDescent="0.3">
      <c r="A117" s="113"/>
      <c r="B117" s="46"/>
      <c r="C117" s="46"/>
      <c r="D117" s="46"/>
      <c r="E117" s="46"/>
      <c r="F117" s="46"/>
      <c r="G117" s="46"/>
    </row>
    <row r="118" spans="1:7" s="1" customFormat="1" ht="15" x14ac:dyDescent="0.3">
      <c r="A118" s="113"/>
      <c r="B118" s="46"/>
      <c r="C118" s="46"/>
      <c r="D118" s="46"/>
      <c r="E118" s="46"/>
      <c r="F118" s="46"/>
      <c r="G118" s="46"/>
    </row>
    <row r="119" spans="1:7" s="1" customFormat="1" ht="15" x14ac:dyDescent="0.3">
      <c r="A119" s="113"/>
      <c r="B119" s="46"/>
      <c r="C119" s="46"/>
      <c r="D119" s="46"/>
      <c r="E119" s="46"/>
      <c r="F119" s="46"/>
      <c r="G119" s="46"/>
    </row>
  </sheetData>
  <mergeCells count="75">
    <mergeCell ref="A38:A39"/>
    <mergeCell ref="B38:C38"/>
    <mergeCell ref="D38:D39"/>
    <mergeCell ref="F48:F49"/>
    <mergeCell ref="A1:G1"/>
    <mergeCell ref="A2:G2"/>
    <mergeCell ref="A28:G28"/>
    <mergeCell ref="A3:G3"/>
    <mergeCell ref="F29:F30"/>
    <mergeCell ref="E29:E30"/>
    <mergeCell ref="D29:D30"/>
    <mergeCell ref="B29:C29"/>
    <mergeCell ref="A29:A30"/>
    <mergeCell ref="B18:C18"/>
    <mergeCell ref="D18:D19"/>
    <mergeCell ref="E18:E19"/>
    <mergeCell ref="F18:F19"/>
    <mergeCell ref="B35:C35"/>
    <mergeCell ref="A37:G37"/>
    <mergeCell ref="B112:C112"/>
    <mergeCell ref="B115:C115"/>
    <mergeCell ref="B22:C22"/>
    <mergeCell ref="B101:C101"/>
    <mergeCell ref="E92:E93"/>
    <mergeCell ref="E71:E72"/>
    <mergeCell ref="B79:C79"/>
    <mergeCell ref="D79:D80"/>
    <mergeCell ref="E79:E80"/>
    <mergeCell ref="D92:D93"/>
    <mergeCell ref="B88:C88"/>
    <mergeCell ref="B66:C66"/>
    <mergeCell ref="B71:C71"/>
    <mergeCell ref="D71:D72"/>
    <mergeCell ref="D61:D62"/>
    <mergeCell ref="E61:E62"/>
    <mergeCell ref="B16:C16"/>
    <mergeCell ref="B24:C24"/>
    <mergeCell ref="A70:G70"/>
    <mergeCell ref="B76:C76"/>
    <mergeCell ref="A78:G78"/>
    <mergeCell ref="A18:A19"/>
    <mergeCell ref="A71:A72"/>
    <mergeCell ref="F61:F62"/>
    <mergeCell ref="E38:E39"/>
    <mergeCell ref="F38:F39"/>
    <mergeCell ref="B44:C44"/>
    <mergeCell ref="A47:G47"/>
    <mergeCell ref="A48:A49"/>
    <mergeCell ref="B48:C48"/>
    <mergeCell ref="D48:D49"/>
    <mergeCell ref="E48:E49"/>
    <mergeCell ref="A6:G6"/>
    <mergeCell ref="A7:A8"/>
    <mergeCell ref="B7:C7"/>
    <mergeCell ref="D7:D8"/>
    <mergeCell ref="E7:E8"/>
    <mergeCell ref="F7:F8"/>
    <mergeCell ref="F71:F72"/>
    <mergeCell ref="B55:C55"/>
    <mergeCell ref="A60:G60"/>
    <mergeCell ref="A61:A62"/>
    <mergeCell ref="B61:C61"/>
    <mergeCell ref="F79:F80"/>
    <mergeCell ref="B110:C110"/>
    <mergeCell ref="A105:G105"/>
    <mergeCell ref="A106:A107"/>
    <mergeCell ref="B106:C106"/>
    <mergeCell ref="D106:D107"/>
    <mergeCell ref="E106:E107"/>
    <mergeCell ref="F106:F107"/>
    <mergeCell ref="F92:F93"/>
    <mergeCell ref="A91:G91"/>
    <mergeCell ref="A92:A93"/>
    <mergeCell ref="B92:C92"/>
    <mergeCell ref="A79:A80"/>
  </mergeCells>
  <pageMargins left="0.7" right="0.7" top="0.75" bottom="0.75" header="0.3" footer="0.3"/>
  <pageSetup paperSize="9" scale="6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6"/>
  <sheetViews>
    <sheetView topLeftCell="A100" zoomScaleNormal="100" zoomScaleSheetLayoutView="98" workbookViewId="0">
      <selection activeCell="A102" sqref="A102"/>
    </sheetView>
  </sheetViews>
  <sheetFormatPr defaultRowHeight="15" x14ac:dyDescent="0.25"/>
  <cols>
    <col min="1" max="1" width="18.5703125" style="3" customWidth="1"/>
    <col min="2" max="7" width="16.140625" style="3" customWidth="1"/>
    <col min="8" max="16384" width="9.140625" style="3"/>
  </cols>
  <sheetData>
    <row r="1" spans="1:7" ht="31.5" customHeight="1" x14ac:dyDescent="0.25">
      <c r="A1" s="76" t="s">
        <v>123</v>
      </c>
      <c r="B1" s="76"/>
      <c r="C1" s="76"/>
      <c r="D1" s="76"/>
      <c r="E1" s="76"/>
      <c r="F1" s="76"/>
      <c r="G1" s="76"/>
    </row>
    <row r="2" spans="1:7" ht="88.5" customHeight="1" x14ac:dyDescent="0.25">
      <c r="A2" s="73" t="s">
        <v>127</v>
      </c>
      <c r="B2" s="73"/>
      <c r="C2" s="73"/>
      <c r="D2" s="73"/>
      <c r="E2" s="73"/>
      <c r="F2" s="73"/>
      <c r="G2" s="73"/>
    </row>
    <row r="3" spans="1:7" s="12" customFormat="1" x14ac:dyDescent="0.25">
      <c r="A3" s="94" t="s">
        <v>104</v>
      </c>
      <c r="B3" s="94"/>
      <c r="C3" s="94"/>
      <c r="D3" s="94"/>
      <c r="E3" s="94"/>
      <c r="F3" s="94"/>
      <c r="G3" s="94"/>
    </row>
    <row r="4" spans="1:7" s="12" customFormat="1" x14ac:dyDescent="0.25">
      <c r="A4" s="11" t="s">
        <v>119</v>
      </c>
    </row>
    <row r="5" spans="1:7" s="12" customFormat="1" x14ac:dyDescent="0.25"/>
    <row r="6" spans="1:7" s="12" customFormat="1" x14ac:dyDescent="0.25">
      <c r="A6" s="75" t="s">
        <v>126</v>
      </c>
      <c r="B6" s="75"/>
      <c r="C6" s="75"/>
      <c r="D6" s="75"/>
      <c r="E6" s="75"/>
      <c r="F6" s="75"/>
      <c r="G6" s="75"/>
    </row>
    <row r="7" spans="1:7" s="12" customFormat="1" ht="45" x14ac:dyDescent="0.25">
      <c r="A7" s="71" t="s">
        <v>0</v>
      </c>
      <c r="B7" s="69" t="s">
        <v>1</v>
      </c>
      <c r="C7" s="70"/>
      <c r="D7" s="71" t="s">
        <v>2</v>
      </c>
      <c r="E7" s="71" t="s">
        <v>3</v>
      </c>
      <c r="F7" s="71" t="s">
        <v>36</v>
      </c>
      <c r="G7" s="2" t="s">
        <v>5</v>
      </c>
    </row>
    <row r="8" spans="1:7" s="12" customFormat="1" x14ac:dyDescent="0.25">
      <c r="A8" s="72"/>
      <c r="B8" s="34" t="s">
        <v>6</v>
      </c>
      <c r="C8" s="34" t="s">
        <v>7</v>
      </c>
      <c r="D8" s="72"/>
      <c r="E8" s="72"/>
      <c r="F8" s="72"/>
      <c r="G8" s="34" t="s">
        <v>8</v>
      </c>
    </row>
    <row r="9" spans="1:7" s="12" customFormat="1" ht="45" x14ac:dyDescent="0.25">
      <c r="A9" s="35" t="s">
        <v>43</v>
      </c>
      <c r="B9" s="24">
        <v>80</v>
      </c>
      <c r="C9" s="24">
        <f>B9*100%</f>
        <v>80</v>
      </c>
      <c r="D9" s="24">
        <f>C9*10%</f>
        <v>8</v>
      </c>
      <c r="E9" s="24">
        <f>C9*1.3%</f>
        <v>1.04</v>
      </c>
      <c r="F9" s="24">
        <f>C9*69%</f>
        <v>55.199999999999996</v>
      </c>
      <c r="G9" s="24">
        <f>4*(D9+F9)+9*E9</f>
        <v>262.15999999999997</v>
      </c>
    </row>
    <row r="10" spans="1:7" s="12" customFormat="1" x14ac:dyDescent="0.25">
      <c r="A10" s="35" t="s">
        <v>10</v>
      </c>
      <c r="B10" s="24">
        <v>4</v>
      </c>
      <c r="C10" s="24">
        <f>100%*B10</f>
        <v>4</v>
      </c>
      <c r="D10" s="24"/>
      <c r="E10" s="24"/>
      <c r="F10" s="24">
        <f>99%*C10</f>
        <v>3.96</v>
      </c>
      <c r="G10" s="24">
        <f>4*(D10+F10)+9*E10</f>
        <v>15.84</v>
      </c>
    </row>
    <row r="11" spans="1:7" s="5" customFormat="1" ht="18" customHeight="1" x14ac:dyDescent="0.25">
      <c r="A11" s="35" t="s">
        <v>26</v>
      </c>
      <c r="B11" s="24">
        <v>5</v>
      </c>
      <c r="C11" s="24">
        <f>100%*B11</f>
        <v>5</v>
      </c>
      <c r="D11" s="24"/>
      <c r="E11" s="24">
        <f>99.9%*C11</f>
        <v>4.995000000000001</v>
      </c>
      <c r="F11" s="24"/>
      <c r="G11" s="24">
        <f>4*(D11+F11)+9*E11</f>
        <v>44.955000000000013</v>
      </c>
    </row>
    <row r="12" spans="1:7" s="5" customFormat="1" x14ac:dyDescent="0.25">
      <c r="A12" s="35" t="s">
        <v>11</v>
      </c>
      <c r="B12" s="36">
        <v>2</v>
      </c>
      <c r="C12" s="36">
        <f>100%*B12</f>
        <v>2</v>
      </c>
      <c r="D12" s="36"/>
      <c r="E12" s="36"/>
      <c r="F12" s="36"/>
      <c r="G12" s="36">
        <f>4*(D12+F12)+9*E12</f>
        <v>0</v>
      </c>
    </row>
    <row r="13" spans="1:7" s="5" customFormat="1" x14ac:dyDescent="0.25">
      <c r="A13" s="37" t="s">
        <v>44</v>
      </c>
      <c r="B13" s="36">
        <v>1</v>
      </c>
      <c r="C13" s="36">
        <f>100%*B13</f>
        <v>1</v>
      </c>
      <c r="D13" s="36"/>
      <c r="E13" s="36"/>
      <c r="F13" s="36"/>
      <c r="G13" s="36"/>
    </row>
    <row r="14" spans="1:7" s="38" customFormat="1" x14ac:dyDescent="0.25">
      <c r="A14" s="35" t="s">
        <v>21</v>
      </c>
      <c r="B14" s="24">
        <v>105</v>
      </c>
      <c r="C14" s="24">
        <f>72%*B14</f>
        <v>75.599999999999994</v>
      </c>
      <c r="D14" s="24">
        <f>2.1%*C14</f>
        <v>1.5875999999999999</v>
      </c>
      <c r="E14" s="24">
        <f>0.4%*C14</f>
        <v>0.3024</v>
      </c>
      <c r="F14" s="24">
        <f>15.6%*C14</f>
        <v>11.7936</v>
      </c>
      <c r="G14" s="24">
        <f>4*(D14+F14)+9*E14</f>
        <v>56.246400000000001</v>
      </c>
    </row>
    <row r="15" spans="1:7" s="38" customFormat="1" x14ac:dyDescent="0.25">
      <c r="A15" s="35" t="s">
        <v>15</v>
      </c>
      <c r="B15" s="36">
        <v>7</v>
      </c>
      <c r="C15" s="36">
        <f>90%*B15</f>
        <v>6.3</v>
      </c>
      <c r="D15" s="36">
        <f>1.58%*C15</f>
        <v>9.9540000000000003E-2</v>
      </c>
      <c r="E15" s="36"/>
      <c r="F15" s="36">
        <f>9.5%*C15</f>
        <v>0.59850000000000003</v>
      </c>
      <c r="G15" s="36">
        <f>4*(D15+F15)+9*E15</f>
        <v>2.79216</v>
      </c>
    </row>
    <row r="16" spans="1:7" s="38" customFormat="1" x14ac:dyDescent="0.25">
      <c r="A16" s="35" t="s">
        <v>59</v>
      </c>
      <c r="B16" s="36">
        <v>1</v>
      </c>
      <c r="C16" s="36">
        <f>100%*B16</f>
        <v>1</v>
      </c>
      <c r="D16" s="36"/>
      <c r="E16" s="36"/>
      <c r="F16" s="36"/>
      <c r="G16" s="36">
        <f>4*(D16+F16)+9*E16</f>
        <v>0</v>
      </c>
    </row>
    <row r="17" spans="1:7" s="38" customFormat="1" x14ac:dyDescent="0.25">
      <c r="A17" s="39" t="s">
        <v>12</v>
      </c>
      <c r="B17" s="92">
        <v>150</v>
      </c>
      <c r="C17" s="93"/>
      <c r="D17" s="40">
        <f>SUM(D9:D16)</f>
        <v>9.6871399999999994</v>
      </c>
      <c r="E17" s="40">
        <f>SUM(E9:E16)</f>
        <v>6.3374000000000006</v>
      </c>
      <c r="F17" s="40">
        <f>SUM(F9:F16)</f>
        <v>71.552099999999996</v>
      </c>
      <c r="G17" s="40">
        <f>SUM(G9:G16)</f>
        <v>381.99355999999995</v>
      </c>
    </row>
    <row r="18" spans="1:7" s="38" customFormat="1" x14ac:dyDescent="0.25">
      <c r="A18" s="41"/>
      <c r="B18" s="41"/>
      <c r="C18" s="41"/>
      <c r="D18" s="42"/>
      <c r="E18" s="42"/>
      <c r="F18" s="42"/>
      <c r="G18" s="42"/>
    </row>
    <row r="19" spans="1:7" s="38" customFormat="1" x14ac:dyDescent="0.25">
      <c r="A19" s="89" t="s">
        <v>46</v>
      </c>
      <c r="B19" s="89"/>
      <c r="C19" s="89"/>
      <c r="D19" s="89"/>
      <c r="E19" s="89"/>
      <c r="F19" s="89"/>
      <c r="G19" s="89"/>
    </row>
    <row r="20" spans="1:7" s="38" customFormat="1" ht="45" x14ac:dyDescent="0.25">
      <c r="A20" s="87" t="s">
        <v>0</v>
      </c>
      <c r="B20" s="87" t="s">
        <v>1</v>
      </c>
      <c r="C20" s="87"/>
      <c r="D20" s="85" t="s">
        <v>2</v>
      </c>
      <c r="E20" s="85" t="s">
        <v>3</v>
      </c>
      <c r="F20" s="87" t="s">
        <v>36</v>
      </c>
      <c r="G20" s="22" t="s">
        <v>5</v>
      </c>
    </row>
    <row r="21" spans="1:7" s="38" customFormat="1" x14ac:dyDescent="0.25">
      <c r="A21" s="87"/>
      <c r="B21" s="22" t="s">
        <v>6</v>
      </c>
      <c r="C21" s="22" t="s">
        <v>7</v>
      </c>
      <c r="D21" s="86"/>
      <c r="E21" s="86"/>
      <c r="F21" s="87"/>
      <c r="G21" s="22" t="s">
        <v>8</v>
      </c>
    </row>
    <row r="22" spans="1:7" s="38" customFormat="1" x14ac:dyDescent="0.25">
      <c r="A22" s="23" t="s">
        <v>47</v>
      </c>
      <c r="B22" s="24">
        <v>5</v>
      </c>
      <c r="C22" s="24">
        <f>100%*B22</f>
        <v>5</v>
      </c>
      <c r="D22" s="24">
        <f>20%*C22</f>
        <v>1</v>
      </c>
      <c r="E22" s="24">
        <f>13%*C22</f>
        <v>0.65</v>
      </c>
      <c r="F22" s="24">
        <f>26.6%*C22</f>
        <v>1.33</v>
      </c>
      <c r="G22" s="24">
        <f>4*(D22+F22)+9*E22</f>
        <v>15.170000000000002</v>
      </c>
    </row>
    <row r="23" spans="1:7" s="21" customFormat="1" x14ac:dyDescent="0.25">
      <c r="A23" s="23" t="s">
        <v>48</v>
      </c>
      <c r="B23" s="24">
        <v>50</v>
      </c>
      <c r="C23" s="24">
        <f>100%*B23</f>
        <v>50</v>
      </c>
      <c r="D23" s="24">
        <f>2.8%*C23</f>
        <v>1.4</v>
      </c>
      <c r="E23" s="24">
        <f>3.2%*C23</f>
        <v>1.6</v>
      </c>
      <c r="F23" s="24">
        <f>4.7%*C23</f>
        <v>2.35</v>
      </c>
      <c r="G23" s="24">
        <f>4*(D23+F23)+9*E23</f>
        <v>29.4</v>
      </c>
    </row>
    <row r="24" spans="1:7" s="21" customFormat="1" x14ac:dyDescent="0.25">
      <c r="A24" s="25" t="s">
        <v>10</v>
      </c>
      <c r="B24" s="24">
        <v>10</v>
      </c>
      <c r="C24" s="24">
        <f>100%*B24</f>
        <v>10</v>
      </c>
      <c r="D24" s="24"/>
      <c r="E24" s="24"/>
      <c r="F24" s="24">
        <f>99%*C24</f>
        <v>9.9</v>
      </c>
      <c r="G24" s="24">
        <f>4*(D24+F24)+9*E24</f>
        <v>39.6</v>
      </c>
    </row>
    <row r="25" spans="1:7" s="21" customFormat="1" x14ac:dyDescent="0.25">
      <c r="A25" s="22" t="s">
        <v>12</v>
      </c>
      <c r="B25" s="90">
        <v>20</v>
      </c>
      <c r="C25" s="91"/>
      <c r="D25" s="26">
        <f>SUM(D22:D24)</f>
        <v>2.4</v>
      </c>
      <c r="E25" s="26">
        <f>SUM(E22:E24)</f>
        <v>2.25</v>
      </c>
      <c r="F25" s="26">
        <f>SUM(F22:F24)</f>
        <v>13.58</v>
      </c>
      <c r="G25" s="26">
        <f>SUM(G22:G24)</f>
        <v>84.17</v>
      </c>
    </row>
    <row r="26" spans="1:7" s="21" customFormat="1" x14ac:dyDescent="0.25">
      <c r="A26" s="43"/>
      <c r="B26" s="43"/>
      <c r="C26" s="43"/>
      <c r="D26" s="43"/>
      <c r="E26" s="43"/>
      <c r="F26" s="43"/>
      <c r="G26" s="43"/>
    </row>
    <row r="27" spans="1:7" s="12" customFormat="1" x14ac:dyDescent="0.25">
      <c r="A27" s="28"/>
      <c r="B27" s="28"/>
      <c r="C27" s="28"/>
      <c r="D27" s="29"/>
      <c r="E27" s="29"/>
      <c r="F27" s="29"/>
      <c r="G27" s="29"/>
    </row>
    <row r="28" spans="1:7" s="12" customFormat="1" x14ac:dyDescent="0.25">
      <c r="A28" s="30" t="s">
        <v>120</v>
      </c>
      <c r="B28" s="88">
        <f>B25+B17</f>
        <v>170</v>
      </c>
      <c r="C28" s="88"/>
      <c r="D28" s="44">
        <f>D25+D17</f>
        <v>12.08714</v>
      </c>
      <c r="E28" s="44">
        <f t="shared" ref="E28:G28" si="0">E25+E17</f>
        <v>8.5874000000000006</v>
      </c>
      <c r="F28" s="44">
        <f t="shared" si="0"/>
        <v>85.132099999999994</v>
      </c>
      <c r="G28" s="44">
        <f t="shared" si="0"/>
        <v>466.16355999999996</v>
      </c>
    </row>
    <row r="29" spans="1:7" s="12" customFormat="1" x14ac:dyDescent="0.25"/>
    <row r="30" spans="1:7" s="12" customFormat="1" x14ac:dyDescent="0.25">
      <c r="A30" s="32" t="s">
        <v>132</v>
      </c>
      <c r="B30" s="33"/>
      <c r="C30" s="33"/>
      <c r="D30" s="33"/>
      <c r="E30" s="33"/>
      <c r="F30" s="33"/>
      <c r="G30" s="33"/>
    </row>
    <row r="31" spans="1:7" s="12" customFormat="1" x14ac:dyDescent="0.25">
      <c r="A31" s="79" t="s">
        <v>105</v>
      </c>
      <c r="B31" s="79"/>
      <c r="C31" s="79"/>
      <c r="D31" s="79"/>
      <c r="E31" s="79"/>
      <c r="F31" s="79"/>
      <c r="G31" s="79"/>
    </row>
    <row r="32" spans="1:7" s="12" customFormat="1" ht="45" x14ac:dyDescent="0.25">
      <c r="A32" s="80" t="s">
        <v>0</v>
      </c>
      <c r="B32" s="80" t="s">
        <v>1</v>
      </c>
      <c r="C32" s="80"/>
      <c r="D32" s="81" t="s">
        <v>2</v>
      </c>
      <c r="E32" s="81" t="s">
        <v>3</v>
      </c>
      <c r="F32" s="80" t="s">
        <v>4</v>
      </c>
      <c r="G32" s="13" t="s">
        <v>5</v>
      </c>
    </row>
    <row r="33" spans="1:7" s="12" customFormat="1" x14ac:dyDescent="0.25">
      <c r="A33" s="80"/>
      <c r="B33" s="13" t="s">
        <v>6</v>
      </c>
      <c r="C33" s="13" t="s">
        <v>7</v>
      </c>
      <c r="D33" s="82"/>
      <c r="E33" s="82"/>
      <c r="F33" s="80"/>
      <c r="G33" s="13" t="s">
        <v>8</v>
      </c>
    </row>
    <row r="34" spans="1:7" s="12" customFormat="1" x14ac:dyDescent="0.25">
      <c r="A34" s="14" t="s">
        <v>30</v>
      </c>
      <c r="B34" s="15">
        <v>120</v>
      </c>
      <c r="C34" s="15">
        <f>B34*75%</f>
        <v>90</v>
      </c>
      <c r="D34" s="15">
        <f>18.6%*C34</f>
        <v>16.740000000000002</v>
      </c>
      <c r="E34" s="15">
        <f>17.3%*C34</f>
        <v>15.570000000000002</v>
      </c>
      <c r="F34" s="15"/>
      <c r="G34" s="15">
        <f t="shared" ref="G34:G42" si="1">4*(D34+F34)+9*E34</f>
        <v>207.09000000000003</v>
      </c>
    </row>
    <row r="35" spans="1:7" s="12" customFormat="1" x14ac:dyDescent="0.25">
      <c r="A35" s="14" t="s">
        <v>9</v>
      </c>
      <c r="B35" s="15">
        <v>10</v>
      </c>
      <c r="C35" s="15">
        <f>100%*B35</f>
        <v>10</v>
      </c>
      <c r="D35" s="15"/>
      <c r="E35" s="15">
        <f>72.57%*C35</f>
        <v>7.2569999999999988</v>
      </c>
      <c r="F35" s="15"/>
      <c r="G35" s="15">
        <f t="shared" si="1"/>
        <v>65.312999999999988</v>
      </c>
    </row>
    <row r="36" spans="1:7" s="12" customFormat="1" x14ac:dyDescent="0.25">
      <c r="A36" s="14" t="s">
        <v>70</v>
      </c>
      <c r="B36" s="15">
        <v>5</v>
      </c>
      <c r="C36" s="15">
        <f>B36*100%</f>
        <v>5</v>
      </c>
      <c r="D36" s="15">
        <f>C36*10%</f>
        <v>0.5</v>
      </c>
      <c r="E36" s="15">
        <f>C36*1.3%</f>
        <v>6.5000000000000002E-2</v>
      </c>
      <c r="F36" s="15">
        <f>C36*69%</f>
        <v>3.4499999999999997</v>
      </c>
      <c r="G36" s="15">
        <f t="shared" si="1"/>
        <v>16.384999999999998</v>
      </c>
    </row>
    <row r="37" spans="1:7" s="12" customFormat="1" x14ac:dyDescent="0.25">
      <c r="A37" s="14" t="s">
        <v>15</v>
      </c>
      <c r="B37" s="15">
        <v>24</v>
      </c>
      <c r="C37" s="15">
        <f>90%*B37</f>
        <v>21.6</v>
      </c>
      <c r="D37" s="15">
        <f>1.58%*C37</f>
        <v>0.34128000000000008</v>
      </c>
      <c r="E37" s="15"/>
      <c r="F37" s="15">
        <f>9.5%*C37</f>
        <v>2.052</v>
      </c>
      <c r="G37" s="15">
        <f t="shared" si="1"/>
        <v>9.5731200000000012</v>
      </c>
    </row>
    <row r="38" spans="1:7" s="12" customFormat="1" ht="30" x14ac:dyDescent="0.25">
      <c r="A38" s="14" t="s">
        <v>106</v>
      </c>
      <c r="B38" s="15">
        <v>0.5</v>
      </c>
      <c r="C38" s="15">
        <f>100%*B38</f>
        <v>0.5</v>
      </c>
      <c r="D38" s="15"/>
      <c r="E38" s="15"/>
      <c r="F38" s="15"/>
      <c r="G38" s="15">
        <f t="shared" si="1"/>
        <v>0</v>
      </c>
    </row>
    <row r="39" spans="1:7" s="12" customFormat="1" x14ac:dyDescent="0.25">
      <c r="A39" s="14" t="s">
        <v>107</v>
      </c>
      <c r="B39" s="15">
        <v>4</v>
      </c>
      <c r="C39" s="15">
        <f>100%*B39</f>
        <v>4</v>
      </c>
      <c r="D39" s="15"/>
      <c r="E39" s="15"/>
      <c r="F39" s="15">
        <f>17.7%*C39</f>
        <v>0.70799999999999996</v>
      </c>
      <c r="G39" s="15">
        <f t="shared" si="1"/>
        <v>2.8319999999999999</v>
      </c>
    </row>
    <row r="40" spans="1:7" s="12" customFormat="1" x14ac:dyDescent="0.25">
      <c r="A40" s="14" t="s">
        <v>19</v>
      </c>
      <c r="B40" s="15">
        <v>7</v>
      </c>
      <c r="C40" s="15">
        <f>85%*B40</f>
        <v>5.95</v>
      </c>
      <c r="D40" s="15"/>
      <c r="E40" s="15"/>
      <c r="F40" s="15"/>
      <c r="G40" s="15">
        <f>4*(D40+F40)+9*E40</f>
        <v>0</v>
      </c>
    </row>
    <row r="41" spans="1:7" s="12" customFormat="1" ht="30" x14ac:dyDescent="0.25">
      <c r="A41" s="14" t="s">
        <v>108</v>
      </c>
      <c r="B41" s="15">
        <v>100</v>
      </c>
      <c r="C41" s="15">
        <f>90%*B41</f>
        <v>90</v>
      </c>
      <c r="D41" s="15"/>
      <c r="E41" s="15"/>
      <c r="F41" s="15"/>
      <c r="G41" s="15">
        <f t="shared" si="1"/>
        <v>0</v>
      </c>
    </row>
    <row r="42" spans="1:7" s="12" customFormat="1" x14ac:dyDescent="0.25">
      <c r="A42" s="14" t="s">
        <v>11</v>
      </c>
      <c r="B42" s="15">
        <v>1</v>
      </c>
      <c r="C42" s="15">
        <f>100%*B42</f>
        <v>1</v>
      </c>
      <c r="D42" s="15"/>
      <c r="E42" s="15"/>
      <c r="F42" s="15"/>
      <c r="G42" s="15">
        <f t="shared" si="1"/>
        <v>0</v>
      </c>
    </row>
    <row r="43" spans="1:7" s="12" customFormat="1" x14ac:dyDescent="0.25">
      <c r="A43" s="13" t="s">
        <v>12</v>
      </c>
      <c r="B43" s="77" t="s">
        <v>109</v>
      </c>
      <c r="C43" s="78"/>
      <c r="D43" s="16">
        <f>SUM(D34:D42)</f>
        <v>17.581280000000003</v>
      </c>
      <c r="E43" s="16">
        <f>SUM(E34:E42)</f>
        <v>22.892000000000003</v>
      </c>
      <c r="F43" s="16">
        <f>SUM(F34:F42)</f>
        <v>6.21</v>
      </c>
      <c r="G43" s="16">
        <f>SUM(G34:G42)</f>
        <v>301.19312000000002</v>
      </c>
    </row>
    <row r="44" spans="1:7" s="18" customFormat="1" x14ac:dyDescent="0.25">
      <c r="A44" s="17" t="s">
        <v>103</v>
      </c>
      <c r="B44" s="16">
        <v>250</v>
      </c>
      <c r="C44" s="16">
        <v>250</v>
      </c>
      <c r="D44" s="16">
        <f>C44*7.9%</f>
        <v>19.75</v>
      </c>
      <c r="E44" s="16">
        <f>C44*1%</f>
        <v>2.5</v>
      </c>
      <c r="F44" s="16">
        <f>C44*49.6%</f>
        <v>124</v>
      </c>
      <c r="G44" s="16">
        <f>4*(D44+F44)+9*E44</f>
        <v>597.5</v>
      </c>
    </row>
    <row r="45" spans="1:7" s="12" customFormat="1" x14ac:dyDescent="0.25"/>
    <row r="46" spans="1:7" s="12" customFormat="1" x14ac:dyDescent="0.25">
      <c r="A46" s="79" t="s">
        <v>124</v>
      </c>
      <c r="B46" s="79"/>
      <c r="C46" s="79"/>
      <c r="D46" s="79"/>
      <c r="E46" s="79"/>
      <c r="F46" s="79"/>
      <c r="G46" s="79"/>
    </row>
    <row r="47" spans="1:7" s="12" customFormat="1" ht="45" x14ac:dyDescent="0.25">
      <c r="A47" s="80" t="s">
        <v>0</v>
      </c>
      <c r="B47" s="80" t="s">
        <v>1</v>
      </c>
      <c r="C47" s="80"/>
      <c r="D47" s="80" t="s">
        <v>2</v>
      </c>
      <c r="E47" s="80" t="s">
        <v>3</v>
      </c>
      <c r="F47" s="80" t="s">
        <v>4</v>
      </c>
      <c r="G47" s="13" t="s">
        <v>5</v>
      </c>
    </row>
    <row r="48" spans="1:7" s="12" customFormat="1" x14ac:dyDescent="0.25">
      <c r="A48" s="80"/>
      <c r="B48" s="13" t="s">
        <v>6</v>
      </c>
      <c r="C48" s="13" t="s">
        <v>7</v>
      </c>
      <c r="D48" s="80"/>
      <c r="E48" s="80"/>
      <c r="F48" s="80"/>
      <c r="G48" s="13" t="s">
        <v>8</v>
      </c>
    </row>
    <row r="49" spans="1:8" s="12" customFormat="1" x14ac:dyDescent="0.25">
      <c r="A49" s="14" t="s">
        <v>91</v>
      </c>
      <c r="B49" s="15">
        <v>80</v>
      </c>
      <c r="C49" s="15">
        <f>B49*100%</f>
        <v>80</v>
      </c>
      <c r="D49" s="15">
        <f>9.15%*C49</f>
        <v>7.32</v>
      </c>
      <c r="E49" s="15">
        <f>0.8%*C49</f>
        <v>0.64</v>
      </c>
      <c r="F49" s="15">
        <f>60%*C49</f>
        <v>48</v>
      </c>
      <c r="G49" s="15">
        <f>4*(D49+F49)+9*E49</f>
        <v>227.04</v>
      </c>
    </row>
    <row r="50" spans="1:8" s="12" customFormat="1" x14ac:dyDescent="0.25">
      <c r="A50" s="14" t="s">
        <v>9</v>
      </c>
      <c r="B50" s="15">
        <v>10</v>
      </c>
      <c r="C50" s="15">
        <f>100%*B50</f>
        <v>10</v>
      </c>
      <c r="D50" s="15"/>
      <c r="E50" s="15">
        <f>72.57%*C50</f>
        <v>7.2569999999999988</v>
      </c>
      <c r="F50" s="15"/>
      <c r="G50" s="15">
        <f>4*(D50+F50)+9*E50</f>
        <v>65.312999999999988</v>
      </c>
    </row>
    <row r="51" spans="1:8" s="12" customFormat="1" x14ac:dyDescent="0.25">
      <c r="A51" s="14" t="s">
        <v>11</v>
      </c>
      <c r="B51" s="15">
        <v>2</v>
      </c>
      <c r="C51" s="15">
        <f>100%*B51</f>
        <v>2</v>
      </c>
      <c r="D51" s="15"/>
      <c r="E51" s="15"/>
      <c r="F51" s="15"/>
      <c r="G51" s="15">
        <f>4*(D51+F51)+9*E51</f>
        <v>0</v>
      </c>
    </row>
    <row r="52" spans="1:8" s="12" customFormat="1" x14ac:dyDescent="0.25">
      <c r="A52" s="14" t="s">
        <v>125</v>
      </c>
      <c r="B52" s="15">
        <v>28</v>
      </c>
      <c r="C52" s="15">
        <f>80%*B52</f>
        <v>22.400000000000002</v>
      </c>
      <c r="D52" s="15">
        <f>17.9%*C52</f>
        <v>4.0095999999999998</v>
      </c>
      <c r="E52" s="15">
        <f>14.3%*C52</f>
        <v>3.2032000000000007</v>
      </c>
      <c r="F52" s="15"/>
      <c r="G52" s="15">
        <f>4*(D52+F52)+9*E52</f>
        <v>44.867200000000011</v>
      </c>
    </row>
    <row r="53" spans="1:8" s="12" customFormat="1" x14ac:dyDescent="0.25">
      <c r="A53" s="13" t="s">
        <v>12</v>
      </c>
      <c r="B53" s="77">
        <v>250</v>
      </c>
      <c r="C53" s="78"/>
      <c r="D53" s="16">
        <f>SUM(D49:D52)</f>
        <v>11.329599999999999</v>
      </c>
      <c r="E53" s="16">
        <f>SUM(E49:E52)</f>
        <v>11.100199999999999</v>
      </c>
      <c r="F53" s="16">
        <f>SUM(F49:F52)</f>
        <v>48</v>
      </c>
      <c r="G53" s="16">
        <f>SUM(G49:G52)</f>
        <v>337.22019999999998</v>
      </c>
    </row>
    <row r="54" spans="1:8" s="19" customFormat="1" x14ac:dyDescent="0.25">
      <c r="A54" s="3"/>
      <c r="B54" s="3"/>
      <c r="C54" s="3"/>
      <c r="D54" s="3"/>
      <c r="E54" s="3"/>
      <c r="F54" s="3"/>
      <c r="G54" s="3"/>
    </row>
    <row r="55" spans="1:8" s="19" customFormat="1" x14ac:dyDescent="0.25">
      <c r="A55" s="20" t="s">
        <v>111</v>
      </c>
      <c r="B55" s="21"/>
      <c r="C55" s="21"/>
      <c r="D55" s="21"/>
      <c r="E55" s="21"/>
      <c r="F55" s="21"/>
      <c r="G55" s="21"/>
    </row>
    <row r="56" spans="1:8" s="12" customFormat="1" ht="45" x14ac:dyDescent="0.25">
      <c r="A56" s="87" t="s">
        <v>0</v>
      </c>
      <c r="B56" s="87" t="s">
        <v>1</v>
      </c>
      <c r="C56" s="87"/>
      <c r="D56" s="85" t="s">
        <v>2</v>
      </c>
      <c r="E56" s="85" t="s">
        <v>3</v>
      </c>
      <c r="F56" s="87" t="s">
        <v>4</v>
      </c>
      <c r="G56" s="22" t="s">
        <v>5</v>
      </c>
    </row>
    <row r="57" spans="1:8" x14ac:dyDescent="0.25">
      <c r="A57" s="87"/>
      <c r="B57" s="22" t="s">
        <v>6</v>
      </c>
      <c r="C57" s="22" t="s">
        <v>7</v>
      </c>
      <c r="D57" s="86"/>
      <c r="E57" s="86"/>
      <c r="F57" s="87"/>
      <c r="G57" s="22" t="s">
        <v>8</v>
      </c>
    </row>
    <row r="58" spans="1:8" s="12" customFormat="1" x14ac:dyDescent="0.25">
      <c r="A58" s="23" t="s">
        <v>84</v>
      </c>
      <c r="B58" s="24">
        <v>100</v>
      </c>
      <c r="C58" s="24">
        <f>90%*B58</f>
        <v>90</v>
      </c>
      <c r="D58" s="24">
        <f>0.8%*C58</f>
        <v>0.72</v>
      </c>
      <c r="E58" s="24"/>
      <c r="F58" s="24">
        <f>2.6%*C58</f>
        <v>2.3400000000000003</v>
      </c>
      <c r="G58" s="24">
        <f>4*(D58+F58)+9*E58</f>
        <v>12.240000000000002</v>
      </c>
      <c r="H58" s="21"/>
    </row>
    <row r="59" spans="1:8" s="12" customFormat="1" x14ac:dyDescent="0.25">
      <c r="A59" s="23" t="s">
        <v>32</v>
      </c>
      <c r="B59" s="24">
        <v>50</v>
      </c>
      <c r="C59" s="24">
        <f>90%*B59</f>
        <v>45</v>
      </c>
      <c r="D59" s="24">
        <f>1.1%*C59</f>
        <v>0.49500000000000005</v>
      </c>
      <c r="E59" s="24">
        <f>0.2%*C59</f>
        <v>0.09</v>
      </c>
      <c r="F59" s="24">
        <f>3.8%*C59</f>
        <v>1.71</v>
      </c>
      <c r="G59" s="24">
        <f>4*(D59+F59)+9*E59</f>
        <v>9.6300000000000008</v>
      </c>
      <c r="H59" s="21"/>
    </row>
    <row r="60" spans="1:8" s="12" customFormat="1" x14ac:dyDescent="0.25">
      <c r="A60" s="25" t="s">
        <v>26</v>
      </c>
      <c r="B60" s="24">
        <v>3</v>
      </c>
      <c r="C60" s="24">
        <f>100%*B60</f>
        <v>3</v>
      </c>
      <c r="D60" s="24"/>
      <c r="E60" s="24">
        <f>99.9%*C60</f>
        <v>2.9970000000000003</v>
      </c>
      <c r="F60" s="24"/>
      <c r="G60" s="24">
        <f>4*(D60+F60)+9*E60</f>
        <v>26.973000000000003</v>
      </c>
      <c r="H60" s="21"/>
    </row>
    <row r="61" spans="1:8" s="12" customFormat="1" x14ac:dyDescent="0.25">
      <c r="A61" s="25" t="s">
        <v>11</v>
      </c>
      <c r="B61" s="24">
        <v>1</v>
      </c>
      <c r="C61" s="24">
        <f>100%*B61</f>
        <v>1</v>
      </c>
      <c r="D61" s="24"/>
      <c r="E61" s="24"/>
      <c r="F61" s="24"/>
      <c r="G61" s="24">
        <f>4*(D61+F61)+9*E61</f>
        <v>0</v>
      </c>
      <c r="H61" s="21"/>
    </row>
    <row r="62" spans="1:8" s="12" customFormat="1" x14ac:dyDescent="0.25">
      <c r="A62" s="22" t="s">
        <v>12</v>
      </c>
      <c r="B62" s="90">
        <v>150</v>
      </c>
      <c r="C62" s="91"/>
      <c r="D62" s="26">
        <f>SUM(D58:D61)</f>
        <v>1.2150000000000001</v>
      </c>
      <c r="E62" s="26">
        <f>SUM(E58:E61)</f>
        <v>3.0870000000000002</v>
      </c>
      <c r="F62" s="26">
        <f>SUM(F58:F61)</f>
        <v>4.0500000000000007</v>
      </c>
      <c r="G62" s="26">
        <f>SUM(G58:G61)</f>
        <v>48.843000000000004</v>
      </c>
      <c r="H62" s="21"/>
    </row>
    <row r="63" spans="1:8" s="12" customFormat="1" x14ac:dyDescent="0.25">
      <c r="A63" s="3"/>
      <c r="B63" s="3"/>
      <c r="C63" s="3"/>
      <c r="D63" s="3"/>
      <c r="E63" s="3"/>
      <c r="F63" s="3"/>
      <c r="G63" s="3"/>
      <c r="H63" s="21"/>
    </row>
    <row r="64" spans="1:8" s="12" customFormat="1" x14ac:dyDescent="0.25">
      <c r="A64" s="79" t="s">
        <v>86</v>
      </c>
      <c r="B64" s="79"/>
      <c r="C64" s="79"/>
      <c r="D64" s="79"/>
      <c r="E64" s="79"/>
      <c r="F64" s="79"/>
      <c r="G64" s="79"/>
      <c r="H64" s="21"/>
    </row>
    <row r="65" spans="1:8" s="12" customFormat="1" ht="45" x14ac:dyDescent="0.25">
      <c r="A65" s="80" t="s">
        <v>0</v>
      </c>
      <c r="B65" s="80" t="s">
        <v>1</v>
      </c>
      <c r="C65" s="80"/>
      <c r="D65" s="81" t="s">
        <v>2</v>
      </c>
      <c r="E65" s="81" t="s">
        <v>3</v>
      </c>
      <c r="F65" s="80" t="s">
        <v>4</v>
      </c>
      <c r="G65" s="13" t="s">
        <v>5</v>
      </c>
      <c r="H65" s="21"/>
    </row>
    <row r="66" spans="1:8" x14ac:dyDescent="0.25">
      <c r="A66" s="80"/>
      <c r="B66" s="13" t="s">
        <v>6</v>
      </c>
      <c r="C66" s="13" t="s">
        <v>7</v>
      </c>
      <c r="D66" s="82"/>
      <c r="E66" s="82"/>
      <c r="F66" s="80"/>
      <c r="G66" s="13" t="s">
        <v>8</v>
      </c>
    </row>
    <row r="67" spans="1:8" s="12" customFormat="1" x14ac:dyDescent="0.25">
      <c r="A67" s="14" t="s">
        <v>87</v>
      </c>
      <c r="B67" s="15">
        <v>25</v>
      </c>
      <c r="C67" s="15">
        <f>100%*B67</f>
        <v>25</v>
      </c>
      <c r="D67" s="15">
        <f>1.6%*C67</f>
        <v>0.4</v>
      </c>
      <c r="E67" s="15"/>
      <c r="F67" s="15">
        <f>40%*C67</f>
        <v>10</v>
      </c>
      <c r="G67" s="15">
        <f>4*(D67+F67)+9*E67</f>
        <v>41.6</v>
      </c>
    </row>
    <row r="68" spans="1:8" s="12" customFormat="1" x14ac:dyDescent="0.25">
      <c r="A68" s="14" t="s">
        <v>10</v>
      </c>
      <c r="B68" s="15">
        <v>10</v>
      </c>
      <c r="C68" s="15">
        <f>100%*B68</f>
        <v>10</v>
      </c>
      <c r="D68" s="15"/>
      <c r="E68" s="15"/>
      <c r="F68" s="15">
        <f>99%*C68</f>
        <v>9.9</v>
      </c>
      <c r="G68" s="15">
        <f>4*(D68+F68)+9*E68</f>
        <v>39.6</v>
      </c>
    </row>
    <row r="69" spans="1:8" s="12" customFormat="1" x14ac:dyDescent="0.25">
      <c r="A69" s="27" t="s">
        <v>12</v>
      </c>
      <c r="B69" s="83">
        <v>200</v>
      </c>
      <c r="C69" s="84"/>
      <c r="D69" s="16">
        <f>SUM(D67:D68)</f>
        <v>0.4</v>
      </c>
      <c r="E69" s="16">
        <f>SUM(E67:E68)</f>
        <v>0</v>
      </c>
      <c r="F69" s="16">
        <f>SUM(F67:F68)</f>
        <v>19.899999999999999</v>
      </c>
      <c r="G69" s="16">
        <f>SUM(G67:G68)</f>
        <v>81.2</v>
      </c>
    </row>
    <row r="70" spans="1:8" s="12" customFormat="1" x14ac:dyDescent="0.25">
      <c r="A70" s="28"/>
      <c r="B70" s="28"/>
      <c r="C70" s="28"/>
      <c r="D70" s="29"/>
      <c r="E70" s="29"/>
      <c r="F70" s="29"/>
      <c r="G70" s="29"/>
    </row>
    <row r="71" spans="1:8" s="12" customFormat="1" x14ac:dyDescent="0.25">
      <c r="A71" s="30" t="s">
        <v>128</v>
      </c>
      <c r="B71" s="88">
        <f>B69+B62+B53+C44+54+200</f>
        <v>1104</v>
      </c>
      <c r="C71" s="88"/>
      <c r="D71" s="31">
        <f>D69+D62+D53+D44+D43</f>
        <v>50.275880000000001</v>
      </c>
      <c r="E71" s="31">
        <f>E69+E62+E53+E44+E43</f>
        <v>39.5792</v>
      </c>
      <c r="F71" s="31">
        <f>F69+F62+F53+F44+F43</f>
        <v>202.16</v>
      </c>
      <c r="G71" s="31">
        <f>G69+G62+G53+G44+G43</f>
        <v>1365.9563199999998</v>
      </c>
    </row>
    <row r="72" spans="1:8" s="12" customFormat="1" x14ac:dyDescent="0.25"/>
    <row r="73" spans="1:8" s="12" customFormat="1" x14ac:dyDescent="0.25">
      <c r="A73" s="32" t="s">
        <v>130</v>
      </c>
      <c r="B73" s="33"/>
      <c r="C73" s="33"/>
      <c r="D73" s="33"/>
      <c r="E73" s="33"/>
      <c r="F73" s="33"/>
      <c r="G73" s="33"/>
    </row>
    <row r="74" spans="1:8" s="18" customFormat="1" x14ac:dyDescent="0.25">
      <c r="A74" s="79" t="s">
        <v>50</v>
      </c>
      <c r="B74" s="79"/>
      <c r="C74" s="79"/>
      <c r="D74" s="79"/>
      <c r="E74" s="79"/>
      <c r="F74" s="79"/>
      <c r="G74" s="79"/>
    </row>
    <row r="75" spans="1:8" s="12" customFormat="1" ht="45" x14ac:dyDescent="0.25">
      <c r="A75" s="80" t="s">
        <v>0</v>
      </c>
      <c r="B75" s="80" t="s">
        <v>1</v>
      </c>
      <c r="C75" s="80"/>
      <c r="D75" s="81" t="s">
        <v>2</v>
      </c>
      <c r="E75" s="81" t="s">
        <v>3</v>
      </c>
      <c r="F75" s="80" t="s">
        <v>36</v>
      </c>
      <c r="G75" s="13" t="s">
        <v>5</v>
      </c>
    </row>
    <row r="76" spans="1:8" s="12" customFormat="1" x14ac:dyDescent="0.25">
      <c r="A76" s="80"/>
      <c r="B76" s="13" t="s">
        <v>6</v>
      </c>
      <c r="C76" s="13" t="s">
        <v>7</v>
      </c>
      <c r="D76" s="82"/>
      <c r="E76" s="82"/>
      <c r="F76" s="80"/>
      <c r="G76" s="13" t="s">
        <v>8</v>
      </c>
    </row>
    <row r="77" spans="1:8" s="12" customFormat="1" x14ac:dyDescent="0.25">
      <c r="A77" s="23" t="s">
        <v>16</v>
      </c>
      <c r="B77" s="15">
        <v>160</v>
      </c>
      <c r="C77" s="15">
        <f>B77*72%</f>
        <v>115.19999999999999</v>
      </c>
      <c r="D77" s="15">
        <f>18.5%*C77</f>
        <v>21.311999999999998</v>
      </c>
      <c r="E77" s="15">
        <f>15.9%*C77</f>
        <v>18.316799999999997</v>
      </c>
      <c r="F77" s="15"/>
      <c r="G77" s="15">
        <f t="shared" ref="G77:G82" si="2">4*(D77+F77)+9*E77</f>
        <v>250.09919999999997</v>
      </c>
    </row>
    <row r="78" spans="1:8" s="12" customFormat="1" x14ac:dyDescent="0.25">
      <c r="A78" s="23" t="s">
        <v>51</v>
      </c>
      <c r="B78" s="15">
        <v>5</v>
      </c>
      <c r="C78" s="15">
        <f>100%*B78</f>
        <v>5</v>
      </c>
      <c r="D78" s="15"/>
      <c r="E78" s="15"/>
      <c r="F78" s="15">
        <f>17.7%*C78</f>
        <v>0.88500000000000001</v>
      </c>
      <c r="G78" s="15">
        <f t="shared" si="2"/>
        <v>3.54</v>
      </c>
    </row>
    <row r="79" spans="1:8" s="12" customFormat="1" x14ac:dyDescent="0.25">
      <c r="A79" s="23" t="s">
        <v>19</v>
      </c>
      <c r="B79" s="15">
        <v>14</v>
      </c>
      <c r="C79" s="15">
        <f>85%*B79</f>
        <v>11.9</v>
      </c>
      <c r="D79" s="15"/>
      <c r="E79" s="15"/>
      <c r="F79" s="15"/>
      <c r="G79" s="15">
        <f t="shared" si="2"/>
        <v>0</v>
      </c>
    </row>
    <row r="80" spans="1:8" s="12" customFormat="1" x14ac:dyDescent="0.25">
      <c r="A80" s="14" t="s">
        <v>15</v>
      </c>
      <c r="B80" s="15">
        <v>10</v>
      </c>
      <c r="C80" s="15">
        <f>90%*B80</f>
        <v>9</v>
      </c>
      <c r="D80" s="15">
        <f>1.58%*C80</f>
        <v>0.14220000000000002</v>
      </c>
      <c r="E80" s="15"/>
      <c r="F80" s="15">
        <f>9.5%*C80</f>
        <v>0.85499999999999998</v>
      </c>
      <c r="G80" s="15">
        <f t="shared" si="2"/>
        <v>3.9887999999999999</v>
      </c>
    </row>
    <row r="81" spans="1:7" s="12" customFormat="1" x14ac:dyDescent="0.25">
      <c r="A81" s="23" t="s">
        <v>9</v>
      </c>
      <c r="B81" s="15">
        <v>7</v>
      </c>
      <c r="C81" s="15">
        <f>100%*B81</f>
        <v>7</v>
      </c>
      <c r="D81" s="15">
        <f>0.5%*C81</f>
        <v>3.5000000000000003E-2</v>
      </c>
      <c r="E81" s="15">
        <f>82.5%*C81</f>
        <v>5.7749999999999995</v>
      </c>
      <c r="F81" s="15">
        <f>0.8%*C81</f>
        <v>5.6000000000000001E-2</v>
      </c>
      <c r="G81" s="15">
        <f t="shared" si="2"/>
        <v>52.338999999999992</v>
      </c>
    </row>
    <row r="82" spans="1:7" s="12" customFormat="1" x14ac:dyDescent="0.25">
      <c r="A82" s="14" t="s">
        <v>11</v>
      </c>
      <c r="B82" s="15">
        <v>1</v>
      </c>
      <c r="C82" s="15">
        <f>100%*B82</f>
        <v>1</v>
      </c>
      <c r="D82" s="15"/>
      <c r="E82" s="15"/>
      <c r="F82" s="15"/>
      <c r="G82" s="15">
        <f t="shared" si="2"/>
        <v>0</v>
      </c>
    </row>
    <row r="83" spans="1:7" s="12" customFormat="1" x14ac:dyDescent="0.25">
      <c r="A83" s="13" t="s">
        <v>12</v>
      </c>
      <c r="B83" s="77">
        <v>150</v>
      </c>
      <c r="C83" s="78"/>
      <c r="D83" s="16">
        <f>SUM(D77:D82)</f>
        <v>21.489199999999997</v>
      </c>
      <c r="E83" s="16">
        <f>SUM(E77:E82)</f>
        <v>24.091799999999996</v>
      </c>
      <c r="F83" s="16">
        <f>SUM(F77:F82)</f>
        <v>1.796</v>
      </c>
      <c r="G83" s="16">
        <f>SUM(G77:G82)</f>
        <v>309.96699999999998</v>
      </c>
    </row>
    <row r="84" spans="1:7" s="12" customFormat="1" x14ac:dyDescent="0.25">
      <c r="A84" s="3"/>
      <c r="B84" s="3"/>
      <c r="C84" s="3"/>
      <c r="D84" s="3"/>
      <c r="E84" s="3"/>
      <c r="F84" s="3"/>
      <c r="G84" s="3"/>
    </row>
    <row r="85" spans="1:7" s="12" customFormat="1" x14ac:dyDescent="0.25"/>
    <row r="86" spans="1:7" s="12" customFormat="1" x14ac:dyDescent="0.25">
      <c r="A86" s="79" t="s">
        <v>20</v>
      </c>
      <c r="B86" s="79"/>
      <c r="C86" s="79"/>
      <c r="D86" s="79"/>
      <c r="E86" s="79"/>
      <c r="F86" s="79"/>
      <c r="G86" s="79"/>
    </row>
    <row r="87" spans="1:7" ht="45" x14ac:dyDescent="0.25">
      <c r="A87" s="80" t="s">
        <v>0</v>
      </c>
      <c r="B87" s="80" t="s">
        <v>1</v>
      </c>
      <c r="C87" s="80"/>
      <c r="D87" s="81" t="s">
        <v>2</v>
      </c>
      <c r="E87" s="81" t="s">
        <v>3</v>
      </c>
      <c r="F87" s="80" t="s">
        <v>4</v>
      </c>
      <c r="G87" s="13" t="s">
        <v>5</v>
      </c>
    </row>
    <row r="88" spans="1:7" s="12" customFormat="1" x14ac:dyDescent="0.25">
      <c r="A88" s="80"/>
      <c r="B88" s="13" t="s">
        <v>6</v>
      </c>
      <c r="C88" s="13" t="s">
        <v>7</v>
      </c>
      <c r="D88" s="82"/>
      <c r="E88" s="82"/>
      <c r="F88" s="80"/>
      <c r="G88" s="13" t="s">
        <v>8</v>
      </c>
    </row>
    <row r="89" spans="1:7" s="12" customFormat="1" x14ac:dyDescent="0.25">
      <c r="A89" s="14" t="s">
        <v>21</v>
      </c>
      <c r="B89" s="15">
        <v>200</v>
      </c>
      <c r="C89" s="15">
        <f>72%*B89</f>
        <v>144</v>
      </c>
      <c r="D89" s="15">
        <f>2.1%*C89</f>
        <v>3.024</v>
      </c>
      <c r="E89" s="15">
        <f>0.4%*C89</f>
        <v>0.57600000000000007</v>
      </c>
      <c r="F89" s="15">
        <f>15.6%*C89</f>
        <v>22.463999999999999</v>
      </c>
      <c r="G89" s="15">
        <f t="shared" ref="G89:G97" si="3">4*(D89+F89)+9*E89</f>
        <v>107.136</v>
      </c>
    </row>
    <row r="90" spans="1:7" s="12" customFormat="1" x14ac:dyDescent="0.25">
      <c r="A90" s="14" t="s">
        <v>22</v>
      </c>
      <c r="B90" s="15">
        <v>50</v>
      </c>
      <c r="C90" s="15">
        <f>90%*B90</f>
        <v>45</v>
      </c>
      <c r="D90" s="15">
        <f>1.66%*C90</f>
        <v>0.747</v>
      </c>
      <c r="E90" s="15"/>
      <c r="F90" s="15">
        <f>10%*C90</f>
        <v>4.5</v>
      </c>
      <c r="G90" s="15">
        <f t="shared" si="3"/>
        <v>20.988</v>
      </c>
    </row>
    <row r="91" spans="1:7" s="12" customFormat="1" x14ac:dyDescent="0.25">
      <c r="A91" s="14" t="s">
        <v>23</v>
      </c>
      <c r="B91" s="15">
        <v>50</v>
      </c>
      <c r="C91" s="15">
        <f>80%*B91</f>
        <v>40</v>
      </c>
      <c r="D91" s="15">
        <f>1.77%*C91</f>
        <v>0.70799999999999996</v>
      </c>
      <c r="E91" s="15"/>
      <c r="F91" s="15">
        <f>11%*C91</f>
        <v>4.4000000000000004</v>
      </c>
      <c r="G91" s="15">
        <f t="shared" si="3"/>
        <v>20.432000000000002</v>
      </c>
    </row>
    <row r="92" spans="1:7" s="12" customFormat="1" x14ac:dyDescent="0.25">
      <c r="A92" s="14" t="s">
        <v>15</v>
      </c>
      <c r="B92" s="15">
        <v>14</v>
      </c>
      <c r="C92" s="15">
        <f>90%*B92</f>
        <v>12.6</v>
      </c>
      <c r="D92" s="15">
        <f>1.58%*C92</f>
        <v>0.19908000000000001</v>
      </c>
      <c r="E92" s="15"/>
      <c r="F92" s="15">
        <f>9.5%*C92</f>
        <v>1.1970000000000001</v>
      </c>
      <c r="G92" s="15">
        <f t="shared" si="3"/>
        <v>5.58432</v>
      </c>
    </row>
    <row r="93" spans="1:7" s="12" customFormat="1" x14ac:dyDescent="0.25">
      <c r="A93" s="14" t="s">
        <v>24</v>
      </c>
      <c r="B93" s="15">
        <v>15</v>
      </c>
      <c r="C93" s="15">
        <f>B93*100%</f>
        <v>15</v>
      </c>
      <c r="D93" s="15">
        <f>C93*20%</f>
        <v>3</v>
      </c>
      <c r="E93" s="15">
        <f>C93*2%</f>
        <v>0.3</v>
      </c>
      <c r="F93" s="15">
        <f>C93*48%</f>
        <v>7.1999999999999993</v>
      </c>
      <c r="G93" s="15">
        <f t="shared" si="3"/>
        <v>43.5</v>
      </c>
    </row>
    <row r="94" spans="1:7" s="12" customFormat="1" ht="30" x14ac:dyDescent="0.25">
      <c r="A94" s="14" t="s">
        <v>25</v>
      </c>
      <c r="B94" s="15">
        <v>35</v>
      </c>
      <c r="C94" s="15">
        <f>100%*B94</f>
        <v>35</v>
      </c>
      <c r="D94" s="15">
        <f>0.8%*C94</f>
        <v>0.28000000000000003</v>
      </c>
      <c r="E94" s="15"/>
      <c r="F94" s="15">
        <f>9.3%*C94</f>
        <v>3.2550000000000003</v>
      </c>
      <c r="G94" s="15">
        <f t="shared" si="3"/>
        <v>14.14</v>
      </c>
    </row>
    <row r="95" spans="1:7" s="12" customFormat="1" x14ac:dyDescent="0.25">
      <c r="A95" s="14" t="s">
        <v>19</v>
      </c>
      <c r="B95" s="15">
        <v>4</v>
      </c>
      <c r="C95" s="15">
        <f>85%*B95</f>
        <v>3.4</v>
      </c>
      <c r="D95" s="15"/>
      <c r="E95" s="15"/>
      <c r="F95" s="15"/>
      <c r="G95" s="15">
        <f t="shared" si="3"/>
        <v>0</v>
      </c>
    </row>
    <row r="96" spans="1:7" s="12" customFormat="1" x14ac:dyDescent="0.25">
      <c r="A96" s="14" t="s">
        <v>26</v>
      </c>
      <c r="B96" s="15">
        <v>7</v>
      </c>
      <c r="C96" s="15">
        <f>100%*B96</f>
        <v>7</v>
      </c>
      <c r="D96" s="15"/>
      <c r="E96" s="15">
        <f>99.9%*C96</f>
        <v>6.9930000000000003</v>
      </c>
      <c r="F96" s="15"/>
      <c r="G96" s="15">
        <f t="shared" si="3"/>
        <v>62.937000000000005</v>
      </c>
    </row>
    <row r="97" spans="1:7" s="12" customFormat="1" ht="23.25" customHeight="1" x14ac:dyDescent="0.25">
      <c r="A97" s="14" t="s">
        <v>11</v>
      </c>
      <c r="B97" s="15">
        <v>1</v>
      </c>
      <c r="C97" s="15">
        <f>100%*B97</f>
        <v>1</v>
      </c>
      <c r="D97" s="15"/>
      <c r="E97" s="15"/>
      <c r="F97" s="15"/>
      <c r="G97" s="15">
        <f t="shared" si="3"/>
        <v>0</v>
      </c>
    </row>
    <row r="98" spans="1:7" s="12" customFormat="1" x14ac:dyDescent="0.25">
      <c r="A98" s="13" t="s">
        <v>12</v>
      </c>
      <c r="B98" s="90">
        <v>115</v>
      </c>
      <c r="C98" s="91"/>
      <c r="D98" s="16">
        <f>SUM(D89:D97)</f>
        <v>7.9580800000000007</v>
      </c>
      <c r="E98" s="16">
        <f>SUM(E89:E97)</f>
        <v>7.8690000000000007</v>
      </c>
      <c r="F98" s="16">
        <f>SUM(F89:F97)</f>
        <v>43.015999999999998</v>
      </c>
      <c r="G98" s="16">
        <f>SUM(G89:G97)</f>
        <v>274.71731999999997</v>
      </c>
    </row>
    <row r="99" spans="1:7" s="12" customFormat="1" x14ac:dyDescent="0.25">
      <c r="A99" s="13" t="s">
        <v>49</v>
      </c>
      <c r="B99" s="16">
        <v>250</v>
      </c>
      <c r="C99" s="16">
        <v>250</v>
      </c>
      <c r="D99" s="16">
        <f>C99*7.9%</f>
        <v>19.75</v>
      </c>
      <c r="E99" s="16">
        <f>C99*1%</f>
        <v>2.5</v>
      </c>
      <c r="F99" s="16">
        <f>C99*49.6%</f>
        <v>124</v>
      </c>
      <c r="G99" s="16">
        <f>4*(D99+F99)+9*E99</f>
        <v>597.5</v>
      </c>
    </row>
    <row r="100" spans="1:7" s="12" customFormat="1" x14ac:dyDescent="0.25"/>
    <row r="101" spans="1:7" s="21" customFormat="1" x14ac:dyDescent="0.25">
      <c r="A101" s="43"/>
      <c r="B101" s="43"/>
      <c r="C101" s="43"/>
      <c r="D101" s="43"/>
      <c r="E101" s="43"/>
      <c r="F101" s="43"/>
      <c r="G101" s="43"/>
    </row>
    <row r="102" spans="1:7" s="12" customFormat="1" x14ac:dyDescent="0.25">
      <c r="A102" s="30" t="s">
        <v>134</v>
      </c>
      <c r="B102" s="88">
        <f>C99+B98+B83</f>
        <v>515</v>
      </c>
      <c r="C102" s="88"/>
      <c r="D102" s="44">
        <f>D99+D98+D83</f>
        <v>49.197279999999999</v>
      </c>
      <c r="E102" s="44">
        <f t="shared" ref="E102:G102" si="4">E99+E98+E83</f>
        <v>34.460799999999992</v>
      </c>
      <c r="F102" s="44">
        <f t="shared" si="4"/>
        <v>168.81199999999998</v>
      </c>
      <c r="G102" s="44">
        <f t="shared" si="4"/>
        <v>1182.1843199999998</v>
      </c>
    </row>
    <row r="103" spans="1:7" s="21" customFormat="1" x14ac:dyDescent="0.25"/>
    <row r="104" spans="1:7" s="21" customFormat="1" x14ac:dyDescent="0.25"/>
    <row r="105" spans="1:7" s="12" customFormat="1" x14ac:dyDescent="0.25">
      <c r="A105" s="30" t="s">
        <v>122</v>
      </c>
      <c r="B105" s="88">
        <f>B102+B71+B28</f>
        <v>1789</v>
      </c>
      <c r="C105" s="88"/>
      <c r="D105" s="44">
        <f>D102+D71+D28</f>
        <v>111.56030000000001</v>
      </c>
      <c r="E105" s="44">
        <f t="shared" ref="E105:G105" si="5">E102+E71+E28</f>
        <v>82.627399999999994</v>
      </c>
      <c r="F105" s="44">
        <f t="shared" si="5"/>
        <v>456.10409999999996</v>
      </c>
      <c r="G105" s="44">
        <f t="shared" si="5"/>
        <v>3014.3041999999996</v>
      </c>
    </row>
    <row r="106" spans="1:7" s="21" customFormat="1" x14ac:dyDescent="0.25">
      <c r="A106" s="43"/>
      <c r="B106" s="43"/>
      <c r="C106" s="43"/>
      <c r="D106" s="43"/>
      <c r="E106" s="43"/>
      <c r="F106" s="43"/>
      <c r="G106" s="43"/>
    </row>
    <row r="107" spans="1:7" s="43" customFormat="1" x14ac:dyDescent="0.25"/>
    <row r="108" spans="1:7" s="43" customFormat="1" x14ac:dyDescent="0.25"/>
    <row r="109" spans="1:7" s="20" customFormat="1" x14ac:dyDescent="0.25">
      <c r="A109" s="43"/>
      <c r="B109" s="43"/>
      <c r="C109" s="43"/>
      <c r="D109" s="43"/>
      <c r="E109" s="43"/>
      <c r="F109" s="43"/>
      <c r="G109" s="43"/>
    </row>
    <row r="110" spans="1:7" s="21" customFormat="1" x14ac:dyDescent="0.25">
      <c r="A110" s="3"/>
      <c r="B110" s="3"/>
      <c r="C110" s="3"/>
      <c r="D110" s="3"/>
      <c r="E110" s="3"/>
      <c r="F110" s="3"/>
      <c r="G110" s="3"/>
    </row>
    <row r="111" spans="1:7" s="21" customFormat="1" x14ac:dyDescent="0.25">
      <c r="A111" s="3"/>
      <c r="B111" s="3"/>
      <c r="C111" s="3"/>
      <c r="D111" s="3"/>
      <c r="E111" s="3"/>
      <c r="F111" s="3"/>
      <c r="G111" s="3"/>
    </row>
    <row r="112" spans="1:7" s="21" customFormat="1" x14ac:dyDescent="0.25">
      <c r="A112" s="3"/>
      <c r="B112" s="3"/>
      <c r="C112" s="3"/>
      <c r="D112" s="3"/>
      <c r="E112" s="3"/>
      <c r="F112" s="3"/>
      <c r="G112" s="3"/>
    </row>
    <row r="113" spans="1:7" s="43" customFormat="1" x14ac:dyDescent="0.25">
      <c r="A113" s="3"/>
      <c r="B113" s="3"/>
      <c r="C113" s="3"/>
      <c r="D113" s="3"/>
      <c r="E113" s="3"/>
      <c r="F113" s="3"/>
      <c r="G113" s="3"/>
    </row>
    <row r="114" spans="1:7" s="43" customFormat="1" x14ac:dyDescent="0.25">
      <c r="A114" s="3"/>
      <c r="B114" s="3"/>
      <c r="C114" s="3"/>
      <c r="D114" s="3"/>
      <c r="E114" s="3"/>
      <c r="F114" s="3"/>
      <c r="G114" s="3"/>
    </row>
    <row r="115" spans="1:7" s="43" customFormat="1" x14ac:dyDescent="0.25">
      <c r="A115" s="3"/>
      <c r="B115" s="3"/>
      <c r="C115" s="3"/>
      <c r="D115" s="3"/>
      <c r="E115" s="3"/>
      <c r="F115" s="3"/>
      <c r="G115" s="3"/>
    </row>
    <row r="116" spans="1:7" s="43" customFormat="1" x14ac:dyDescent="0.25">
      <c r="A116" s="3"/>
      <c r="B116" s="3"/>
      <c r="C116" s="3"/>
      <c r="D116" s="3"/>
      <c r="E116" s="3"/>
      <c r="F116" s="3"/>
      <c r="G116" s="3"/>
    </row>
  </sheetData>
  <mergeCells count="62">
    <mergeCell ref="A1:G1"/>
    <mergeCell ref="A2:G2"/>
    <mergeCell ref="A3:G3"/>
    <mergeCell ref="A31:G31"/>
    <mergeCell ref="B43:C43"/>
    <mergeCell ref="A32:A33"/>
    <mergeCell ref="B32:C32"/>
    <mergeCell ref="D32:D33"/>
    <mergeCell ref="E32:E33"/>
    <mergeCell ref="F32:F33"/>
    <mergeCell ref="A6:G6"/>
    <mergeCell ref="B25:C25"/>
    <mergeCell ref="B20:C20"/>
    <mergeCell ref="A46:G46"/>
    <mergeCell ref="A47:A48"/>
    <mergeCell ref="B17:C17"/>
    <mergeCell ref="A7:A8"/>
    <mergeCell ref="D7:D8"/>
    <mergeCell ref="B47:C47"/>
    <mergeCell ref="D47:D48"/>
    <mergeCell ref="E47:E48"/>
    <mergeCell ref="F47:F48"/>
    <mergeCell ref="E7:E8"/>
    <mergeCell ref="F7:F8"/>
    <mergeCell ref="B28:C28"/>
    <mergeCell ref="B105:C105"/>
    <mergeCell ref="B62:C62"/>
    <mergeCell ref="B7:C7"/>
    <mergeCell ref="B98:C98"/>
    <mergeCell ref="B83:C83"/>
    <mergeCell ref="A86:G86"/>
    <mergeCell ref="A87:A88"/>
    <mergeCell ref="B87:C87"/>
    <mergeCell ref="A75:A76"/>
    <mergeCell ref="B75:C75"/>
    <mergeCell ref="D75:D76"/>
    <mergeCell ref="E75:E76"/>
    <mergeCell ref="F75:F76"/>
    <mergeCell ref="E65:E66"/>
    <mergeCell ref="F65:F66"/>
    <mergeCell ref="A74:G74"/>
    <mergeCell ref="B102:C102"/>
    <mergeCell ref="A19:G19"/>
    <mergeCell ref="A20:A21"/>
    <mergeCell ref="D20:D21"/>
    <mergeCell ref="E20:E21"/>
    <mergeCell ref="F20:F21"/>
    <mergeCell ref="A64:G64"/>
    <mergeCell ref="B69:C69"/>
    <mergeCell ref="A65:A66"/>
    <mergeCell ref="B65:C65"/>
    <mergeCell ref="D65:D66"/>
    <mergeCell ref="B71:C71"/>
    <mergeCell ref="A56:A57"/>
    <mergeCell ref="B56:C56"/>
    <mergeCell ref="D87:D88"/>
    <mergeCell ref="E87:E88"/>
    <mergeCell ref="F87:F88"/>
    <mergeCell ref="B53:C53"/>
    <mergeCell ref="D56:D57"/>
    <mergeCell ref="E56:E57"/>
    <mergeCell ref="F56:F57"/>
  </mergeCells>
  <pageMargins left="0.7" right="0.7" top="0.75" bottom="0.75" header="0.3" footer="0.3"/>
  <pageSetup scale="7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5"/>
  <sheetViews>
    <sheetView view="pageBreakPreview" topLeftCell="A103" zoomScale="136" zoomScaleNormal="100" zoomScaleSheetLayoutView="136" workbookViewId="0">
      <selection activeCell="H108" sqref="H108"/>
    </sheetView>
  </sheetViews>
  <sheetFormatPr defaultRowHeight="12.75" x14ac:dyDescent="0.2"/>
  <cols>
    <col min="1" max="7" width="18.28515625" style="46" customWidth="1"/>
    <col min="8" max="16384" width="9.140625" style="46"/>
  </cols>
  <sheetData>
    <row r="1" spans="1:7" ht="15" x14ac:dyDescent="0.2">
      <c r="A1" s="105" t="s">
        <v>123</v>
      </c>
      <c r="B1" s="105"/>
      <c r="C1" s="105"/>
      <c r="D1" s="105"/>
      <c r="E1" s="105"/>
      <c r="F1" s="105"/>
      <c r="G1" s="105"/>
    </row>
    <row r="2" spans="1:7" ht="87" customHeight="1" x14ac:dyDescent="0.2">
      <c r="A2" s="104" t="s">
        <v>127</v>
      </c>
      <c r="B2" s="104"/>
      <c r="C2" s="104"/>
      <c r="D2" s="104"/>
      <c r="E2" s="104"/>
      <c r="F2" s="104"/>
      <c r="G2" s="104"/>
    </row>
    <row r="3" spans="1:7" s="1" customFormat="1" ht="15" x14ac:dyDescent="0.3">
      <c r="A3" s="106" t="s">
        <v>112</v>
      </c>
      <c r="B3" s="106"/>
      <c r="C3" s="106"/>
      <c r="D3" s="106"/>
      <c r="E3" s="106"/>
      <c r="F3" s="106"/>
      <c r="G3" s="106"/>
    </row>
    <row r="4" spans="1:7" s="1" customFormat="1" ht="15" x14ac:dyDescent="0.3">
      <c r="A4" s="48" t="s">
        <v>119</v>
      </c>
    </row>
    <row r="5" spans="1:7" s="1" customFormat="1" ht="15" x14ac:dyDescent="0.3">
      <c r="A5" s="6" t="s">
        <v>92</v>
      </c>
    </row>
    <row r="6" spans="1:7" s="1" customFormat="1" ht="30" x14ac:dyDescent="0.3">
      <c r="A6" s="95" t="s">
        <v>0</v>
      </c>
      <c r="B6" s="95" t="s">
        <v>1</v>
      </c>
      <c r="C6" s="95"/>
      <c r="D6" s="97" t="s">
        <v>2</v>
      </c>
      <c r="E6" s="97" t="s">
        <v>3</v>
      </c>
      <c r="F6" s="95" t="s">
        <v>4</v>
      </c>
      <c r="G6" s="49" t="s">
        <v>5</v>
      </c>
    </row>
    <row r="7" spans="1:7" s="1" customFormat="1" ht="15" x14ac:dyDescent="0.3">
      <c r="A7" s="95"/>
      <c r="B7" s="49" t="s">
        <v>6</v>
      </c>
      <c r="C7" s="49" t="s">
        <v>7</v>
      </c>
      <c r="D7" s="98"/>
      <c r="E7" s="98"/>
      <c r="F7" s="95"/>
      <c r="G7" s="49" t="s">
        <v>8</v>
      </c>
    </row>
    <row r="8" spans="1:7" s="1" customFormat="1" ht="15" x14ac:dyDescent="0.3">
      <c r="A8" s="50" t="s">
        <v>80</v>
      </c>
      <c r="B8" s="51">
        <v>70</v>
      </c>
      <c r="C8" s="51">
        <f>B8*100%</f>
        <v>70</v>
      </c>
      <c r="D8" s="51">
        <f>C8*10%</f>
        <v>7</v>
      </c>
      <c r="E8" s="51">
        <f>C8*1.3%</f>
        <v>0.91</v>
      </c>
      <c r="F8" s="51">
        <f>C8*69%</f>
        <v>48.3</v>
      </c>
      <c r="G8" s="51">
        <f t="shared" ref="G8:G13" si="0">4*(D8+F8)+9*E8</f>
        <v>229.39</v>
      </c>
    </row>
    <row r="9" spans="1:7" s="1" customFormat="1" ht="15" x14ac:dyDescent="0.3">
      <c r="A9" s="50" t="s">
        <v>57</v>
      </c>
      <c r="B9" s="51">
        <v>65</v>
      </c>
      <c r="C9" s="51">
        <f>80%*B9</f>
        <v>52</v>
      </c>
      <c r="D9" s="51">
        <f>17.9%*C9</f>
        <v>9.3079999999999998</v>
      </c>
      <c r="E9" s="51">
        <f>14.3%*C9</f>
        <v>7.4360000000000008</v>
      </c>
      <c r="F9" s="51"/>
      <c r="G9" s="51">
        <f t="shared" si="0"/>
        <v>104.15600000000001</v>
      </c>
    </row>
    <row r="10" spans="1:7" s="1" customFormat="1" ht="15" x14ac:dyDescent="0.3">
      <c r="A10" s="50" t="s">
        <v>14</v>
      </c>
      <c r="B10" s="51">
        <v>0.25</v>
      </c>
      <c r="C10" s="51">
        <f>B10*48</f>
        <v>12</v>
      </c>
      <c r="D10" s="51">
        <f>12.7%*C10</f>
        <v>1.524</v>
      </c>
      <c r="E10" s="51">
        <f>11.5%*C10</f>
        <v>1.3800000000000001</v>
      </c>
      <c r="F10" s="51"/>
      <c r="G10" s="51">
        <f t="shared" si="0"/>
        <v>18.516000000000002</v>
      </c>
    </row>
    <row r="11" spans="1:7" s="1" customFormat="1" ht="15" x14ac:dyDescent="0.3">
      <c r="A11" s="50" t="s">
        <v>44</v>
      </c>
      <c r="B11" s="51">
        <v>1</v>
      </c>
      <c r="C11" s="51">
        <f>100%*B11</f>
        <v>1</v>
      </c>
      <c r="D11" s="51"/>
      <c r="E11" s="51"/>
      <c r="F11" s="51"/>
      <c r="G11" s="51">
        <f t="shared" si="0"/>
        <v>0</v>
      </c>
    </row>
    <row r="12" spans="1:7" s="1" customFormat="1" ht="15" x14ac:dyDescent="0.3">
      <c r="A12" s="50" t="s">
        <v>93</v>
      </c>
      <c r="B12" s="51">
        <v>3</v>
      </c>
      <c r="C12" s="51">
        <f>100%*B12</f>
        <v>3</v>
      </c>
      <c r="D12" s="51"/>
      <c r="E12" s="51">
        <f>72.57%*C12</f>
        <v>2.1770999999999998</v>
      </c>
      <c r="F12" s="51"/>
      <c r="G12" s="51">
        <f t="shared" si="0"/>
        <v>19.593899999999998</v>
      </c>
    </row>
    <row r="13" spans="1:7" s="1" customFormat="1" ht="15" x14ac:dyDescent="0.3">
      <c r="A13" s="50" t="s">
        <v>11</v>
      </c>
      <c r="B13" s="51">
        <v>1</v>
      </c>
      <c r="C13" s="51">
        <f>100%*B13</f>
        <v>1</v>
      </c>
      <c r="D13" s="51"/>
      <c r="E13" s="51"/>
      <c r="F13" s="51"/>
      <c r="G13" s="51">
        <f t="shared" si="0"/>
        <v>0</v>
      </c>
    </row>
    <row r="14" spans="1:7" s="1" customFormat="1" ht="15" x14ac:dyDescent="0.3">
      <c r="A14" s="49" t="s">
        <v>12</v>
      </c>
      <c r="B14" s="99">
        <v>160</v>
      </c>
      <c r="C14" s="100"/>
      <c r="D14" s="52">
        <f>SUM(D8:D13)</f>
        <v>17.832000000000001</v>
      </c>
      <c r="E14" s="52">
        <f>SUM(E8:E13)</f>
        <v>11.9031</v>
      </c>
      <c r="F14" s="52">
        <f>SUM(F8:F13)</f>
        <v>48.3</v>
      </c>
      <c r="G14" s="52">
        <f>SUM(G8:G13)</f>
        <v>371.65590000000003</v>
      </c>
    </row>
    <row r="15" spans="1:7" s="1" customFormat="1" ht="15" x14ac:dyDescent="0.3">
      <c r="A15" s="49"/>
      <c r="B15" s="53"/>
      <c r="C15" s="54"/>
      <c r="D15" s="55"/>
      <c r="E15" s="55"/>
      <c r="F15" s="52"/>
      <c r="G15" s="52"/>
    </row>
    <row r="16" spans="1:7" s="1" customFormat="1" ht="36" customHeight="1" x14ac:dyDescent="0.3">
      <c r="A16" s="95" t="s">
        <v>0</v>
      </c>
      <c r="B16" s="95" t="s">
        <v>1</v>
      </c>
      <c r="C16" s="95"/>
      <c r="D16" s="97" t="s">
        <v>2</v>
      </c>
      <c r="E16" s="97" t="s">
        <v>3</v>
      </c>
      <c r="F16" s="95" t="s">
        <v>4</v>
      </c>
      <c r="G16" s="49" t="s">
        <v>5</v>
      </c>
    </row>
    <row r="17" spans="1:7" s="1" customFormat="1" ht="15" x14ac:dyDescent="0.3">
      <c r="A17" s="95"/>
      <c r="B17" s="49" t="s">
        <v>6</v>
      </c>
      <c r="C17" s="49" t="s">
        <v>7</v>
      </c>
      <c r="D17" s="98"/>
      <c r="E17" s="98"/>
      <c r="F17" s="95"/>
      <c r="G17" s="49" t="s">
        <v>8</v>
      </c>
    </row>
    <row r="18" spans="1:7" s="1" customFormat="1" ht="15" x14ac:dyDescent="0.3">
      <c r="A18" s="56" t="s">
        <v>47</v>
      </c>
      <c r="B18" s="51">
        <v>5</v>
      </c>
      <c r="C18" s="51">
        <f>100%*B18</f>
        <v>5</v>
      </c>
      <c r="D18" s="51">
        <f>20%*C18</f>
        <v>1</v>
      </c>
      <c r="E18" s="51">
        <f>13%*C18</f>
        <v>0.65</v>
      </c>
      <c r="F18" s="51">
        <f>26.6%*C18</f>
        <v>1.33</v>
      </c>
      <c r="G18" s="51">
        <f>4*(D18+F18)+9*E18</f>
        <v>15.170000000000002</v>
      </c>
    </row>
    <row r="19" spans="1:7" s="1" customFormat="1" ht="15" x14ac:dyDescent="0.3">
      <c r="A19" s="50" t="s">
        <v>10</v>
      </c>
      <c r="B19" s="51">
        <v>10</v>
      </c>
      <c r="C19" s="51">
        <f>100%*B19</f>
        <v>10</v>
      </c>
      <c r="D19" s="51"/>
      <c r="E19" s="51"/>
      <c r="F19" s="51">
        <f>99%*C19</f>
        <v>9.9</v>
      </c>
      <c r="G19" s="51">
        <f>4*(D19+F19)+9*E19</f>
        <v>39.6</v>
      </c>
    </row>
    <row r="20" spans="1:7" s="1" customFormat="1" ht="15" x14ac:dyDescent="0.3">
      <c r="A20" s="49" t="s">
        <v>12</v>
      </c>
      <c r="B20" s="99">
        <v>200</v>
      </c>
      <c r="C20" s="100"/>
      <c r="D20" s="52">
        <f>SUM(D18:D19)</f>
        <v>1</v>
      </c>
      <c r="E20" s="52">
        <f>SUM(E18:E19)</f>
        <v>0.65</v>
      </c>
      <c r="F20" s="52">
        <f>SUM(F18:F19)</f>
        <v>11.23</v>
      </c>
      <c r="G20" s="52">
        <f>SUM(G18:G19)</f>
        <v>54.77</v>
      </c>
    </row>
    <row r="22" spans="1:7" s="1" customFormat="1" ht="15" x14ac:dyDescent="0.3">
      <c r="A22" s="57" t="s">
        <v>133</v>
      </c>
      <c r="B22" s="96">
        <f>B20+B14</f>
        <v>360</v>
      </c>
      <c r="C22" s="96"/>
      <c r="D22" s="58">
        <f>D20+D14</f>
        <v>18.832000000000001</v>
      </c>
      <c r="E22" s="58">
        <f t="shared" ref="E22:G22" si="1">E20+E14</f>
        <v>12.553100000000001</v>
      </c>
      <c r="F22" s="58">
        <f t="shared" si="1"/>
        <v>59.53</v>
      </c>
      <c r="G22" s="58">
        <f t="shared" si="1"/>
        <v>426.42590000000001</v>
      </c>
    </row>
    <row r="23" spans="1:7" s="1" customFormat="1" ht="15" x14ac:dyDescent="0.3">
      <c r="A23" s="59"/>
      <c r="B23" s="60"/>
      <c r="C23" s="60"/>
      <c r="D23" s="60"/>
      <c r="E23" s="60"/>
      <c r="F23" s="60"/>
      <c r="G23" s="60"/>
    </row>
    <row r="24" spans="1:7" s="1" customFormat="1" ht="15" x14ac:dyDescent="0.3">
      <c r="A24" s="61" t="s">
        <v>132</v>
      </c>
      <c r="B24" s="60"/>
      <c r="C24" s="60"/>
      <c r="D24" s="60"/>
      <c r="E24" s="60"/>
      <c r="F24" s="60"/>
      <c r="G24" s="60"/>
    </row>
    <row r="25" spans="1:7" s="1" customFormat="1" ht="15" x14ac:dyDescent="0.3">
      <c r="A25" s="102" t="s">
        <v>35</v>
      </c>
      <c r="B25" s="102"/>
      <c r="C25" s="102"/>
      <c r="D25" s="102"/>
      <c r="E25" s="102"/>
      <c r="F25" s="102"/>
      <c r="G25" s="102"/>
    </row>
    <row r="26" spans="1:7" s="1" customFormat="1" ht="30" x14ac:dyDescent="0.3">
      <c r="A26" s="95" t="s">
        <v>0</v>
      </c>
      <c r="B26" s="95" t="s">
        <v>1</v>
      </c>
      <c r="C26" s="95"/>
      <c r="D26" s="97" t="s">
        <v>2</v>
      </c>
      <c r="E26" s="97" t="s">
        <v>3</v>
      </c>
      <c r="F26" s="95" t="s">
        <v>36</v>
      </c>
      <c r="G26" s="49" t="s">
        <v>5</v>
      </c>
    </row>
    <row r="27" spans="1:7" s="1" customFormat="1" ht="15" x14ac:dyDescent="0.3">
      <c r="A27" s="95"/>
      <c r="B27" s="49" t="s">
        <v>6</v>
      </c>
      <c r="C27" s="49" t="s">
        <v>7</v>
      </c>
      <c r="D27" s="98"/>
      <c r="E27" s="98"/>
      <c r="F27" s="95"/>
      <c r="G27" s="49" t="s">
        <v>8</v>
      </c>
    </row>
    <row r="28" spans="1:7" s="1" customFormat="1" ht="15" x14ac:dyDescent="0.3">
      <c r="A28" s="56" t="s">
        <v>21</v>
      </c>
      <c r="B28" s="51">
        <v>100</v>
      </c>
      <c r="C28" s="51">
        <f>72%*B28</f>
        <v>72</v>
      </c>
      <c r="D28" s="51">
        <f>2.1%*C28</f>
        <v>1.512</v>
      </c>
      <c r="E28" s="51">
        <f>0.4%*C28</f>
        <v>0.28800000000000003</v>
      </c>
      <c r="F28" s="51">
        <f>15.6%*C28</f>
        <v>11.231999999999999</v>
      </c>
      <c r="G28" s="51">
        <f t="shared" ref="G28:G33" si="2">4*(D28+F28)+9*E28</f>
        <v>53.567999999999998</v>
      </c>
    </row>
    <row r="29" spans="1:7" s="1" customFormat="1" ht="15" x14ac:dyDescent="0.3">
      <c r="A29" s="56" t="s">
        <v>84</v>
      </c>
      <c r="B29" s="51">
        <v>50</v>
      </c>
      <c r="C29" s="51">
        <f>90%*B29</f>
        <v>45</v>
      </c>
      <c r="D29" s="51">
        <f>0.8%*C29</f>
        <v>0.36</v>
      </c>
      <c r="E29" s="51"/>
      <c r="F29" s="51">
        <f>2.6%*C29</f>
        <v>1.1700000000000002</v>
      </c>
      <c r="G29" s="51">
        <f t="shared" si="2"/>
        <v>6.120000000000001</v>
      </c>
    </row>
    <row r="30" spans="1:7" s="1" customFormat="1" ht="15" x14ac:dyDescent="0.3">
      <c r="A30" s="56" t="s">
        <v>23</v>
      </c>
      <c r="B30" s="51">
        <v>64</v>
      </c>
      <c r="C30" s="51">
        <f>80%*B30</f>
        <v>51.2</v>
      </c>
      <c r="D30" s="51">
        <f>1.77%*C30</f>
        <v>0.90624000000000005</v>
      </c>
      <c r="E30" s="51"/>
      <c r="F30" s="51">
        <f>11%*C30</f>
        <v>5.6320000000000006</v>
      </c>
      <c r="G30" s="51">
        <f t="shared" si="2"/>
        <v>26.152960000000004</v>
      </c>
    </row>
    <row r="31" spans="1:7" s="1" customFormat="1" ht="15" x14ac:dyDescent="0.3">
      <c r="A31" s="56" t="s">
        <v>26</v>
      </c>
      <c r="B31" s="51">
        <v>5</v>
      </c>
      <c r="C31" s="51">
        <f>100%*B31</f>
        <v>5</v>
      </c>
      <c r="D31" s="51"/>
      <c r="E31" s="51">
        <f>99.9%*C31</f>
        <v>4.995000000000001</v>
      </c>
      <c r="F31" s="51"/>
      <c r="G31" s="51">
        <f t="shared" si="2"/>
        <v>44.955000000000013</v>
      </c>
    </row>
    <row r="32" spans="1:7" s="1" customFormat="1" ht="15" x14ac:dyDescent="0.3">
      <c r="A32" s="56" t="s">
        <v>19</v>
      </c>
      <c r="B32" s="51">
        <v>14</v>
      </c>
      <c r="C32" s="51">
        <f>85%*B32</f>
        <v>11.9</v>
      </c>
      <c r="D32" s="51"/>
      <c r="E32" s="51"/>
      <c r="F32" s="51"/>
      <c r="G32" s="51">
        <f t="shared" si="2"/>
        <v>0</v>
      </c>
    </row>
    <row r="33" spans="1:7" s="1" customFormat="1" ht="15" x14ac:dyDescent="0.3">
      <c r="A33" s="50" t="s">
        <v>11</v>
      </c>
      <c r="B33" s="51">
        <v>1</v>
      </c>
      <c r="C33" s="51">
        <f>100%*B33</f>
        <v>1</v>
      </c>
      <c r="D33" s="51"/>
      <c r="E33" s="51"/>
      <c r="F33" s="51"/>
      <c r="G33" s="51">
        <f t="shared" si="2"/>
        <v>0</v>
      </c>
    </row>
    <row r="34" spans="1:7" s="1" customFormat="1" ht="15" x14ac:dyDescent="0.3">
      <c r="A34" s="49" t="s">
        <v>12</v>
      </c>
      <c r="B34" s="99">
        <v>200</v>
      </c>
      <c r="C34" s="100"/>
      <c r="D34" s="52">
        <f>SUM(D28:D33)</f>
        <v>2.7782399999999998</v>
      </c>
      <c r="E34" s="52">
        <f>SUM(E28:E33)</f>
        <v>5.2830000000000013</v>
      </c>
      <c r="F34" s="52">
        <f>SUM(F28:F33)</f>
        <v>18.033999999999999</v>
      </c>
      <c r="G34" s="52">
        <f>SUM(G28:G33)</f>
        <v>130.79596000000004</v>
      </c>
    </row>
    <row r="35" spans="1:7" s="1" customFormat="1" ht="15" x14ac:dyDescent="0.3"/>
    <row r="36" spans="1:7" s="1" customFormat="1" ht="15" x14ac:dyDescent="0.3">
      <c r="A36" s="102" t="s">
        <v>113</v>
      </c>
      <c r="B36" s="102"/>
      <c r="C36" s="102"/>
      <c r="D36" s="102"/>
      <c r="E36" s="102"/>
      <c r="F36" s="102"/>
      <c r="G36" s="102"/>
    </row>
    <row r="37" spans="1:7" s="1" customFormat="1" ht="30" x14ac:dyDescent="0.3">
      <c r="A37" s="95" t="s">
        <v>0</v>
      </c>
      <c r="B37" s="95" t="s">
        <v>1</v>
      </c>
      <c r="C37" s="95"/>
      <c r="D37" s="97" t="s">
        <v>2</v>
      </c>
      <c r="E37" s="97" t="s">
        <v>3</v>
      </c>
      <c r="F37" s="95" t="s">
        <v>36</v>
      </c>
      <c r="G37" s="49" t="s">
        <v>5</v>
      </c>
    </row>
    <row r="38" spans="1:7" s="1" customFormat="1" ht="15" x14ac:dyDescent="0.3">
      <c r="A38" s="95"/>
      <c r="B38" s="49" t="s">
        <v>6</v>
      </c>
      <c r="C38" s="49" t="s">
        <v>7</v>
      </c>
      <c r="D38" s="98"/>
      <c r="E38" s="98"/>
      <c r="F38" s="95"/>
      <c r="G38" s="49" t="s">
        <v>8</v>
      </c>
    </row>
    <row r="39" spans="1:7" s="1" customFormat="1" ht="15" x14ac:dyDescent="0.3">
      <c r="A39" s="56" t="s">
        <v>114</v>
      </c>
      <c r="B39" s="51">
        <v>200</v>
      </c>
      <c r="C39" s="51">
        <f>B39*75%</f>
        <v>150</v>
      </c>
      <c r="D39" s="51">
        <f>18.6%*C39</f>
        <v>27.900000000000006</v>
      </c>
      <c r="E39" s="51">
        <f>17.3%*C39</f>
        <v>25.950000000000003</v>
      </c>
      <c r="F39" s="51"/>
      <c r="G39" s="51">
        <f>4*(D39+F39)+9*E39</f>
        <v>345.15000000000003</v>
      </c>
    </row>
    <row r="40" spans="1:7" s="1" customFormat="1" ht="15" x14ac:dyDescent="0.3">
      <c r="A40" s="50" t="s">
        <v>23</v>
      </c>
      <c r="B40" s="51">
        <v>60</v>
      </c>
      <c r="C40" s="51">
        <f>80%*B40</f>
        <v>48</v>
      </c>
      <c r="D40" s="51">
        <f>1.77%*C40</f>
        <v>0.84960000000000002</v>
      </c>
      <c r="E40" s="51"/>
      <c r="F40" s="51">
        <f>11%*C40</f>
        <v>5.28</v>
      </c>
      <c r="G40" s="51">
        <f t="shared" ref="G40:G46" si="3">4*(D40+F40)+9*E40</f>
        <v>24.5184</v>
      </c>
    </row>
    <row r="41" spans="1:7" s="1" customFormat="1" ht="15" x14ac:dyDescent="0.3">
      <c r="A41" s="50" t="s">
        <v>15</v>
      </c>
      <c r="B41" s="51">
        <v>25</v>
      </c>
      <c r="C41" s="51">
        <f>90%*B41</f>
        <v>22.5</v>
      </c>
      <c r="D41" s="51">
        <f>1.58%*C41</f>
        <v>0.35550000000000004</v>
      </c>
      <c r="E41" s="51"/>
      <c r="F41" s="51">
        <f>9.5%*C41</f>
        <v>2.1375000000000002</v>
      </c>
      <c r="G41" s="51">
        <f t="shared" si="3"/>
        <v>9.9720000000000013</v>
      </c>
    </row>
    <row r="42" spans="1:7" s="1" customFormat="1" ht="15" x14ac:dyDescent="0.3">
      <c r="A42" s="50" t="s">
        <v>107</v>
      </c>
      <c r="B42" s="51">
        <v>5</v>
      </c>
      <c r="C42" s="51">
        <f>100%*B42</f>
        <v>5</v>
      </c>
      <c r="D42" s="51"/>
      <c r="E42" s="51"/>
      <c r="F42" s="51">
        <f>17.7%*C42</f>
        <v>0.88500000000000001</v>
      </c>
      <c r="G42" s="51">
        <f t="shared" si="3"/>
        <v>3.54</v>
      </c>
    </row>
    <row r="43" spans="1:7" s="1" customFormat="1" ht="15" x14ac:dyDescent="0.3">
      <c r="A43" s="50" t="s">
        <v>26</v>
      </c>
      <c r="B43" s="51">
        <v>2</v>
      </c>
      <c r="C43" s="51">
        <f>100%*B43</f>
        <v>2</v>
      </c>
      <c r="D43" s="51"/>
      <c r="E43" s="51">
        <f>99.9%*C43</f>
        <v>1.9980000000000002</v>
      </c>
      <c r="F43" s="51"/>
      <c r="G43" s="51">
        <f t="shared" si="3"/>
        <v>17.982000000000003</v>
      </c>
    </row>
    <row r="44" spans="1:7" s="1" customFormat="1" ht="15" x14ac:dyDescent="0.3">
      <c r="A44" s="50" t="s">
        <v>19</v>
      </c>
      <c r="B44" s="51">
        <v>18</v>
      </c>
      <c r="C44" s="51">
        <f>85%*B44</f>
        <v>15.299999999999999</v>
      </c>
      <c r="D44" s="51"/>
      <c r="E44" s="51"/>
      <c r="F44" s="51"/>
      <c r="G44" s="51">
        <f t="shared" si="3"/>
        <v>0</v>
      </c>
    </row>
    <row r="45" spans="1:7" s="1" customFormat="1" ht="15" x14ac:dyDescent="0.3">
      <c r="A45" s="50" t="s">
        <v>18</v>
      </c>
      <c r="B45" s="51">
        <v>1</v>
      </c>
      <c r="C45" s="51">
        <f>92%*B45</f>
        <v>0.92</v>
      </c>
      <c r="D45" s="51"/>
      <c r="E45" s="51"/>
      <c r="F45" s="51"/>
      <c r="G45" s="51">
        <f t="shared" si="3"/>
        <v>0</v>
      </c>
    </row>
    <row r="46" spans="1:7" s="1" customFormat="1" ht="15" x14ac:dyDescent="0.3">
      <c r="A46" s="50" t="s">
        <v>11</v>
      </c>
      <c r="B46" s="51">
        <v>2</v>
      </c>
      <c r="C46" s="51">
        <f>100%*B46</f>
        <v>2</v>
      </c>
      <c r="D46" s="51"/>
      <c r="E46" s="51"/>
      <c r="F46" s="51"/>
      <c r="G46" s="51">
        <f t="shared" si="3"/>
        <v>0</v>
      </c>
    </row>
    <row r="47" spans="1:7" s="1" customFormat="1" ht="15" x14ac:dyDescent="0.3">
      <c r="A47" s="49" t="s">
        <v>12</v>
      </c>
      <c r="B47" s="99">
        <v>300</v>
      </c>
      <c r="C47" s="100"/>
      <c r="D47" s="52">
        <f>SUM(D39:D46)</f>
        <v>29.105100000000004</v>
      </c>
      <c r="E47" s="52">
        <f>SUM(E39:E46)</f>
        <v>27.948000000000004</v>
      </c>
      <c r="F47" s="52">
        <f>SUM(F39:F46)</f>
        <v>8.3025000000000002</v>
      </c>
      <c r="G47" s="52">
        <f>SUM(G39:G46)</f>
        <v>401.16240000000005</v>
      </c>
    </row>
    <row r="48" spans="1:7" s="1" customFormat="1" ht="15" x14ac:dyDescent="0.3">
      <c r="A48" s="63"/>
      <c r="B48" s="63"/>
      <c r="C48" s="63"/>
      <c r="D48" s="64"/>
      <c r="E48" s="64"/>
      <c r="F48" s="64"/>
      <c r="G48" s="64"/>
    </row>
    <row r="49" spans="1:8" s="1" customFormat="1" ht="15" x14ac:dyDescent="0.3">
      <c r="A49" s="102" t="s">
        <v>115</v>
      </c>
      <c r="B49" s="102"/>
      <c r="C49" s="102"/>
      <c r="D49" s="102"/>
      <c r="E49" s="102"/>
      <c r="F49" s="102"/>
      <c r="G49" s="102"/>
    </row>
    <row r="50" spans="1:8" s="1" customFormat="1" ht="30" x14ac:dyDescent="0.3">
      <c r="A50" s="95" t="s">
        <v>0</v>
      </c>
      <c r="B50" s="95" t="s">
        <v>1</v>
      </c>
      <c r="C50" s="95"/>
      <c r="D50" s="97" t="s">
        <v>2</v>
      </c>
      <c r="E50" s="97" t="s">
        <v>3</v>
      </c>
      <c r="F50" s="95" t="s">
        <v>4</v>
      </c>
      <c r="G50" s="49" t="s">
        <v>5</v>
      </c>
    </row>
    <row r="51" spans="1:8" s="1" customFormat="1" ht="15" x14ac:dyDescent="0.3">
      <c r="A51" s="95"/>
      <c r="B51" s="49" t="s">
        <v>6</v>
      </c>
      <c r="C51" s="49" t="s">
        <v>7</v>
      </c>
      <c r="D51" s="98"/>
      <c r="E51" s="98"/>
      <c r="F51" s="95"/>
      <c r="G51" s="49" t="s">
        <v>8</v>
      </c>
    </row>
    <row r="52" spans="1:8" s="1" customFormat="1" ht="15" x14ac:dyDescent="0.3">
      <c r="A52" s="50" t="s">
        <v>21</v>
      </c>
      <c r="B52" s="51">
        <v>210</v>
      </c>
      <c r="C52" s="51">
        <f>72%*B52</f>
        <v>151.19999999999999</v>
      </c>
      <c r="D52" s="51">
        <f>2.1%*C52</f>
        <v>3.1751999999999998</v>
      </c>
      <c r="E52" s="51">
        <f>0.4%*C52</f>
        <v>0.6048</v>
      </c>
      <c r="F52" s="51">
        <f>15.6%*C52</f>
        <v>23.587199999999999</v>
      </c>
      <c r="G52" s="51">
        <f>4*(D52+F52)+9*E52</f>
        <v>112.4928</v>
      </c>
    </row>
    <row r="53" spans="1:8" s="1" customFormat="1" ht="15" x14ac:dyDescent="0.3">
      <c r="A53" s="50" t="s">
        <v>26</v>
      </c>
      <c r="B53" s="51">
        <v>8</v>
      </c>
      <c r="C53" s="51">
        <f>100%*B53</f>
        <v>8</v>
      </c>
      <c r="D53" s="51"/>
      <c r="E53" s="51">
        <f>99.9%*C53</f>
        <v>7.9920000000000009</v>
      </c>
      <c r="F53" s="51"/>
      <c r="G53" s="51">
        <f>4*(D53+F53)+9*E53</f>
        <v>71.928000000000011</v>
      </c>
    </row>
    <row r="54" spans="1:8" s="1" customFormat="1" ht="15" x14ac:dyDescent="0.3">
      <c r="A54" s="50" t="s">
        <v>11</v>
      </c>
      <c r="B54" s="51">
        <v>1</v>
      </c>
      <c r="C54" s="51">
        <f>100%*B54</f>
        <v>1</v>
      </c>
      <c r="D54" s="51"/>
      <c r="E54" s="51"/>
      <c r="F54" s="51"/>
      <c r="G54" s="51">
        <f>4*(D54+F54)+9*E54</f>
        <v>0</v>
      </c>
    </row>
    <row r="55" spans="1:8" s="1" customFormat="1" ht="15" x14ac:dyDescent="0.3">
      <c r="A55" s="65" t="s">
        <v>12</v>
      </c>
      <c r="B55" s="107">
        <v>150</v>
      </c>
      <c r="C55" s="108"/>
      <c r="D55" s="52">
        <f>SUM(D52:D53)</f>
        <v>3.1751999999999998</v>
      </c>
      <c r="E55" s="52">
        <f>SUM(E52:E53)</f>
        <v>8.5968000000000018</v>
      </c>
      <c r="F55" s="52">
        <f>SUM(F52:F53)</f>
        <v>23.587199999999999</v>
      </c>
      <c r="G55" s="52">
        <f>SUM(G52:G54)</f>
        <v>184.42080000000001</v>
      </c>
    </row>
    <row r="56" spans="1:8" s="6" customFormat="1" ht="15" x14ac:dyDescent="0.3">
      <c r="A56" s="66" t="s">
        <v>103</v>
      </c>
      <c r="B56" s="52">
        <v>250</v>
      </c>
      <c r="C56" s="52">
        <f>B56*100%</f>
        <v>250</v>
      </c>
      <c r="D56" s="52">
        <f>C56*7.9%</f>
        <v>19.75</v>
      </c>
      <c r="E56" s="52">
        <f>C56*1%</f>
        <v>2.5</v>
      </c>
      <c r="F56" s="52">
        <f>C56*49.6%</f>
        <v>124</v>
      </c>
      <c r="G56" s="52">
        <f>4*(D56+F56)+9*E56</f>
        <v>597.5</v>
      </c>
    </row>
    <row r="57" spans="1:8" s="1" customFormat="1" ht="15" x14ac:dyDescent="0.3">
      <c r="H57" s="7"/>
    </row>
    <row r="59" spans="1:8" s="1" customFormat="1" ht="36" customHeight="1" x14ac:dyDescent="0.3">
      <c r="A59" s="95" t="s">
        <v>0</v>
      </c>
      <c r="B59" s="95" t="s">
        <v>1</v>
      </c>
      <c r="C59" s="95"/>
      <c r="D59" s="97" t="s">
        <v>2</v>
      </c>
      <c r="E59" s="97" t="s">
        <v>3</v>
      </c>
      <c r="F59" s="95" t="s">
        <v>4</v>
      </c>
      <c r="G59" s="49" t="s">
        <v>5</v>
      </c>
    </row>
    <row r="60" spans="1:8" s="1" customFormat="1" ht="15" x14ac:dyDescent="0.3">
      <c r="A60" s="95"/>
      <c r="B60" s="49" t="s">
        <v>6</v>
      </c>
      <c r="C60" s="49" t="s">
        <v>7</v>
      </c>
      <c r="D60" s="98"/>
      <c r="E60" s="98"/>
      <c r="F60" s="95"/>
      <c r="G60" s="49" t="s">
        <v>8</v>
      </c>
    </row>
    <row r="61" spans="1:8" s="1" customFormat="1" ht="15" x14ac:dyDescent="0.3">
      <c r="A61" s="50" t="s">
        <v>62</v>
      </c>
      <c r="B61" s="51">
        <v>200</v>
      </c>
      <c r="C61" s="51">
        <f>100%*B61</f>
        <v>200</v>
      </c>
      <c r="D61" s="51">
        <f>0.66%*C61</f>
        <v>1.32</v>
      </c>
      <c r="E61" s="51"/>
      <c r="F61" s="51">
        <f>17.3%*C61</f>
        <v>34.6</v>
      </c>
      <c r="G61" s="51">
        <f>4*(D61+F61)+9*E61</f>
        <v>143.68</v>
      </c>
    </row>
    <row r="62" spans="1:8" s="1" customFormat="1" ht="15" x14ac:dyDescent="0.3">
      <c r="A62" s="49" t="s">
        <v>12</v>
      </c>
      <c r="B62" s="99">
        <v>200</v>
      </c>
      <c r="C62" s="100"/>
      <c r="D62" s="52">
        <f>SUM(D61:D61)</f>
        <v>1.32</v>
      </c>
      <c r="E62" s="52">
        <f>SUM(E61:E61)</f>
        <v>0</v>
      </c>
      <c r="F62" s="52">
        <f>SUM(F61:F61)</f>
        <v>34.6</v>
      </c>
      <c r="G62" s="52">
        <f>SUM(G61:G61)</f>
        <v>143.68</v>
      </c>
    </row>
    <row r="63" spans="1:8" s="1" customFormat="1" ht="15" hidden="1" x14ac:dyDescent="0.3">
      <c r="A63" s="50"/>
      <c r="B63" s="51"/>
      <c r="C63" s="51"/>
      <c r="D63" s="51"/>
      <c r="E63" s="51"/>
      <c r="F63" s="51"/>
      <c r="G63" s="51"/>
    </row>
    <row r="64" spans="1:8" s="1" customFormat="1" ht="15" x14ac:dyDescent="0.3">
      <c r="A64" s="57" t="s">
        <v>128</v>
      </c>
      <c r="B64" s="101">
        <f>B62+C56+B55+B47+B34</f>
        <v>1100</v>
      </c>
      <c r="C64" s="101"/>
      <c r="D64" s="67">
        <f>D62+D56+D55+D47+D34</f>
        <v>56.128540000000001</v>
      </c>
      <c r="E64" s="67">
        <f t="shared" ref="E64:G64" si="4">E62+E56+E55+E47+E34</f>
        <v>44.327800000000011</v>
      </c>
      <c r="F64" s="67">
        <f t="shared" si="4"/>
        <v>208.52369999999999</v>
      </c>
      <c r="G64" s="67">
        <f t="shared" si="4"/>
        <v>1457.5591600000002</v>
      </c>
    </row>
    <row r="65" spans="1:7" s="1" customFormat="1" ht="15" x14ac:dyDescent="0.3">
      <c r="A65" s="59"/>
      <c r="B65" s="60"/>
      <c r="C65" s="60"/>
      <c r="D65" s="60"/>
      <c r="E65" s="60"/>
      <c r="F65" s="60"/>
      <c r="G65" s="60"/>
    </row>
    <row r="66" spans="1:7" s="1" customFormat="1" ht="15" x14ac:dyDescent="0.3">
      <c r="A66" s="61" t="s">
        <v>130</v>
      </c>
      <c r="B66" s="60"/>
      <c r="C66" s="60"/>
      <c r="D66" s="60"/>
      <c r="E66" s="60"/>
      <c r="F66" s="60"/>
      <c r="G66" s="60"/>
    </row>
    <row r="67" spans="1:7" s="1" customFormat="1" ht="15" x14ac:dyDescent="0.3">
      <c r="A67" s="102" t="s">
        <v>116</v>
      </c>
      <c r="B67" s="102"/>
      <c r="C67" s="102"/>
      <c r="D67" s="102"/>
      <c r="E67" s="102"/>
      <c r="F67" s="102"/>
      <c r="G67" s="102"/>
    </row>
    <row r="68" spans="1:7" s="1" customFormat="1" ht="30" x14ac:dyDescent="0.3">
      <c r="A68" s="95" t="s">
        <v>0</v>
      </c>
      <c r="B68" s="95" t="s">
        <v>1</v>
      </c>
      <c r="C68" s="95"/>
      <c r="D68" s="97" t="s">
        <v>2</v>
      </c>
      <c r="E68" s="97" t="s">
        <v>3</v>
      </c>
      <c r="F68" s="95" t="s">
        <v>4</v>
      </c>
      <c r="G68" s="49" t="s">
        <v>5</v>
      </c>
    </row>
    <row r="69" spans="1:7" s="1" customFormat="1" ht="15" x14ac:dyDescent="0.3">
      <c r="A69" s="95"/>
      <c r="B69" s="49" t="s">
        <v>6</v>
      </c>
      <c r="C69" s="49" t="s">
        <v>7</v>
      </c>
      <c r="D69" s="98"/>
      <c r="E69" s="98"/>
      <c r="F69" s="95"/>
      <c r="G69" s="49" t="s">
        <v>8</v>
      </c>
    </row>
    <row r="70" spans="1:7" s="1" customFormat="1" ht="30" x14ac:dyDescent="0.3">
      <c r="A70" s="50" t="s">
        <v>117</v>
      </c>
      <c r="B70" s="51">
        <v>60</v>
      </c>
      <c r="C70" s="51">
        <f>72%*B70</f>
        <v>43.199999999999996</v>
      </c>
      <c r="D70" s="51">
        <f>2.1%*C70</f>
        <v>0.90720000000000001</v>
      </c>
      <c r="E70" s="51">
        <f>0.4%*C70</f>
        <v>0.17279999999999998</v>
      </c>
      <c r="F70" s="51">
        <f>15.6%*C70</f>
        <v>6.7391999999999994</v>
      </c>
      <c r="G70" s="51">
        <f t="shared" ref="G70:G76" si="5">4*(D70+F70)+9*E70</f>
        <v>32.140799999999999</v>
      </c>
    </row>
    <row r="71" spans="1:7" s="1" customFormat="1" ht="15" x14ac:dyDescent="0.3">
      <c r="A71" s="50" t="s">
        <v>84</v>
      </c>
      <c r="B71" s="51">
        <v>50</v>
      </c>
      <c r="C71" s="51">
        <f>90%*B71</f>
        <v>45</v>
      </c>
      <c r="D71" s="51">
        <f>0.8%*C71</f>
        <v>0.36</v>
      </c>
      <c r="E71" s="51"/>
      <c r="F71" s="51">
        <f>2.6%*C71</f>
        <v>1.1700000000000002</v>
      </c>
      <c r="G71" s="51">
        <f t="shared" si="5"/>
        <v>6.120000000000001</v>
      </c>
    </row>
    <row r="72" spans="1:7" s="1" customFormat="1" ht="15" x14ac:dyDescent="0.3">
      <c r="A72" s="50" t="s">
        <v>32</v>
      </c>
      <c r="B72" s="51">
        <v>40</v>
      </c>
      <c r="C72" s="51">
        <f>90%*B72</f>
        <v>36</v>
      </c>
      <c r="D72" s="51">
        <f>1.1%*C72</f>
        <v>0.39600000000000002</v>
      </c>
      <c r="E72" s="51">
        <f>0.2%*C72</f>
        <v>7.2000000000000008E-2</v>
      </c>
      <c r="F72" s="51">
        <f>3.8%*C72</f>
        <v>1.3679999999999999</v>
      </c>
      <c r="G72" s="51">
        <f t="shared" si="5"/>
        <v>7.7039999999999988</v>
      </c>
    </row>
    <row r="73" spans="1:7" s="1" customFormat="1" ht="15" x14ac:dyDescent="0.3">
      <c r="A73" s="50" t="s">
        <v>99</v>
      </c>
      <c r="B73" s="51">
        <v>24</v>
      </c>
      <c r="C73" s="51">
        <f>B73*80%</f>
        <v>19.200000000000003</v>
      </c>
      <c r="D73" s="51">
        <f>1.3%*C73</f>
        <v>0.24960000000000007</v>
      </c>
      <c r="E73" s="51"/>
      <c r="F73" s="51">
        <f>4.3%*C73</f>
        <v>0.82560000000000011</v>
      </c>
      <c r="G73" s="51">
        <f t="shared" si="5"/>
        <v>4.3008000000000006</v>
      </c>
    </row>
    <row r="74" spans="1:7" s="1" customFormat="1" ht="15" x14ac:dyDescent="0.3">
      <c r="A74" s="50" t="s">
        <v>14</v>
      </c>
      <c r="B74" s="51">
        <v>1</v>
      </c>
      <c r="C74" s="51">
        <f>B74*48</f>
        <v>48</v>
      </c>
      <c r="D74" s="51">
        <f>12.7%*C74</f>
        <v>6.0960000000000001</v>
      </c>
      <c r="E74" s="51">
        <f>11.5%*C74</f>
        <v>5.5200000000000005</v>
      </c>
      <c r="F74" s="51"/>
      <c r="G74" s="51">
        <f t="shared" si="5"/>
        <v>74.064000000000007</v>
      </c>
    </row>
    <row r="75" spans="1:7" s="1" customFormat="1" ht="15" x14ac:dyDescent="0.3">
      <c r="A75" s="50" t="s">
        <v>17</v>
      </c>
      <c r="B75" s="51">
        <v>35</v>
      </c>
      <c r="C75" s="51">
        <f>100%*B75</f>
        <v>35</v>
      </c>
      <c r="D75" s="51">
        <f>2.6%*C75</f>
        <v>0.91</v>
      </c>
      <c r="E75" s="51">
        <f>20%*C75</f>
        <v>7</v>
      </c>
      <c r="F75" s="51">
        <f>3.8%*C75</f>
        <v>1.33</v>
      </c>
      <c r="G75" s="51">
        <f t="shared" si="5"/>
        <v>71.960000000000008</v>
      </c>
    </row>
    <row r="76" spans="1:7" s="1" customFormat="1" ht="15" x14ac:dyDescent="0.3">
      <c r="A76" s="50" t="s">
        <v>11</v>
      </c>
      <c r="B76" s="51">
        <v>0.5</v>
      </c>
      <c r="C76" s="51">
        <f>100%*B76</f>
        <v>0.5</v>
      </c>
      <c r="D76" s="51"/>
      <c r="E76" s="51"/>
      <c r="F76" s="51"/>
      <c r="G76" s="51">
        <f t="shared" si="5"/>
        <v>0</v>
      </c>
    </row>
    <row r="77" spans="1:7" s="1" customFormat="1" ht="15" x14ac:dyDescent="0.3">
      <c r="A77" s="49" t="s">
        <v>12</v>
      </c>
      <c r="B77" s="99">
        <v>200</v>
      </c>
      <c r="C77" s="100"/>
      <c r="D77" s="52">
        <f>SUM(D70:D76)</f>
        <v>8.9188000000000009</v>
      </c>
      <c r="E77" s="52">
        <f>SUM(E70:E76)</f>
        <v>12.764800000000001</v>
      </c>
      <c r="F77" s="52">
        <f>SUM(F70:F76)</f>
        <v>11.432799999999999</v>
      </c>
      <c r="G77" s="52">
        <f>SUM(G70:G76)</f>
        <v>196.28960000000001</v>
      </c>
    </row>
    <row r="78" spans="1:7" s="1" customFormat="1" ht="15" x14ac:dyDescent="0.3"/>
    <row r="79" spans="1:7" s="1" customFormat="1" ht="15" x14ac:dyDescent="0.3">
      <c r="A79" s="6"/>
    </row>
    <row r="80" spans="1:7" s="1" customFormat="1" ht="15" x14ac:dyDescent="0.3">
      <c r="A80" s="102" t="s">
        <v>105</v>
      </c>
      <c r="B80" s="102"/>
      <c r="C80" s="102"/>
      <c r="D80" s="102"/>
      <c r="E80" s="102"/>
      <c r="F80" s="102"/>
      <c r="G80" s="102"/>
    </row>
    <row r="81" spans="1:7" s="1" customFormat="1" ht="30" x14ac:dyDescent="0.3">
      <c r="A81" s="95" t="s">
        <v>0</v>
      </c>
      <c r="B81" s="95" t="s">
        <v>1</v>
      </c>
      <c r="C81" s="95"/>
      <c r="D81" s="97" t="s">
        <v>2</v>
      </c>
      <c r="E81" s="97" t="s">
        <v>3</v>
      </c>
      <c r="F81" s="95" t="s">
        <v>4</v>
      </c>
      <c r="G81" s="49" t="s">
        <v>5</v>
      </c>
    </row>
    <row r="82" spans="1:7" s="1" customFormat="1" ht="15" x14ac:dyDescent="0.3">
      <c r="A82" s="95"/>
      <c r="B82" s="49" t="s">
        <v>6</v>
      </c>
      <c r="C82" s="49" t="s">
        <v>7</v>
      </c>
      <c r="D82" s="98"/>
      <c r="E82" s="98"/>
      <c r="F82" s="95"/>
      <c r="G82" s="49" t="s">
        <v>8</v>
      </c>
    </row>
    <row r="83" spans="1:7" s="1" customFormat="1" ht="15" x14ac:dyDescent="0.3">
      <c r="A83" s="50" t="s">
        <v>30</v>
      </c>
      <c r="B83" s="51">
        <v>120</v>
      </c>
      <c r="C83" s="51">
        <f>B83*75%</f>
        <v>90</v>
      </c>
      <c r="D83" s="51">
        <f>18.6%*C83</f>
        <v>16.740000000000002</v>
      </c>
      <c r="E83" s="51">
        <f>17.3%*C83</f>
        <v>15.570000000000002</v>
      </c>
      <c r="F83" s="51"/>
      <c r="G83" s="51">
        <f t="shared" ref="G83:G91" si="6">4*(D83+F83)+9*E83</f>
        <v>207.09000000000003</v>
      </c>
    </row>
    <row r="84" spans="1:7" s="1" customFormat="1" ht="15" x14ac:dyDescent="0.3">
      <c r="A84" s="50" t="s">
        <v>9</v>
      </c>
      <c r="B84" s="51">
        <v>5</v>
      </c>
      <c r="C84" s="51">
        <f>100%*B84</f>
        <v>5</v>
      </c>
      <c r="D84" s="51"/>
      <c r="E84" s="51">
        <f>72.57%*C84</f>
        <v>3.6284999999999994</v>
      </c>
      <c r="F84" s="51"/>
      <c r="G84" s="51">
        <f t="shared" si="6"/>
        <v>32.656499999999994</v>
      </c>
    </row>
    <row r="85" spans="1:7" s="1" customFormat="1" ht="15" x14ac:dyDescent="0.3">
      <c r="A85" s="50" t="s">
        <v>70</v>
      </c>
      <c r="B85" s="51">
        <v>3</v>
      </c>
      <c r="C85" s="51">
        <f>B85*100%</f>
        <v>3</v>
      </c>
      <c r="D85" s="51">
        <f>C85*10%</f>
        <v>0.30000000000000004</v>
      </c>
      <c r="E85" s="51">
        <f>C85*1.3%</f>
        <v>3.9000000000000007E-2</v>
      </c>
      <c r="F85" s="51">
        <f>C85*69%</f>
        <v>2.0699999999999998</v>
      </c>
      <c r="G85" s="51">
        <f t="shared" si="6"/>
        <v>9.8310000000000013</v>
      </c>
    </row>
    <row r="86" spans="1:7" s="1" customFormat="1" ht="15" x14ac:dyDescent="0.3">
      <c r="A86" s="50" t="s">
        <v>15</v>
      </c>
      <c r="B86" s="51">
        <v>24</v>
      </c>
      <c r="C86" s="51">
        <f>90%*B86</f>
        <v>21.6</v>
      </c>
      <c r="D86" s="51">
        <f>1.58%*C86</f>
        <v>0.34128000000000008</v>
      </c>
      <c r="E86" s="51"/>
      <c r="F86" s="51">
        <f>9.5%*C86</f>
        <v>2.052</v>
      </c>
      <c r="G86" s="51">
        <f t="shared" si="6"/>
        <v>9.5731200000000012</v>
      </c>
    </row>
    <row r="87" spans="1:7" s="1" customFormat="1" ht="30" x14ac:dyDescent="0.3">
      <c r="A87" s="50" t="s">
        <v>106</v>
      </c>
      <c r="B87" s="51">
        <v>0.5</v>
      </c>
      <c r="C87" s="51">
        <f>100%*B87</f>
        <v>0.5</v>
      </c>
      <c r="D87" s="51"/>
      <c r="E87" s="51"/>
      <c r="F87" s="51"/>
      <c r="G87" s="51">
        <f t="shared" si="6"/>
        <v>0</v>
      </c>
    </row>
    <row r="88" spans="1:7" s="1" customFormat="1" ht="15" x14ac:dyDescent="0.3">
      <c r="A88" s="50" t="s">
        <v>107</v>
      </c>
      <c r="B88" s="51">
        <v>4</v>
      </c>
      <c r="C88" s="51">
        <f>100%*B88</f>
        <v>4</v>
      </c>
      <c r="D88" s="51"/>
      <c r="E88" s="51"/>
      <c r="F88" s="51">
        <f>17.7%*C88</f>
        <v>0.70799999999999996</v>
      </c>
      <c r="G88" s="51">
        <f t="shared" si="6"/>
        <v>2.8319999999999999</v>
      </c>
    </row>
    <row r="89" spans="1:7" s="1" customFormat="1" ht="15" x14ac:dyDescent="0.3">
      <c r="A89" s="50" t="s">
        <v>19</v>
      </c>
      <c r="B89" s="51">
        <v>7</v>
      </c>
      <c r="C89" s="51">
        <f>85%*B89</f>
        <v>5.95</v>
      </c>
      <c r="D89" s="51"/>
      <c r="E89" s="51"/>
      <c r="F89" s="51"/>
      <c r="G89" s="51">
        <f>4*(D89+F89)+9*E89</f>
        <v>0</v>
      </c>
    </row>
    <row r="90" spans="1:7" s="1" customFormat="1" ht="15" x14ac:dyDescent="0.3">
      <c r="A90" s="50" t="s">
        <v>108</v>
      </c>
      <c r="B90" s="51">
        <v>100</v>
      </c>
      <c r="C90" s="51">
        <f>90%*B90</f>
        <v>90</v>
      </c>
      <c r="D90" s="51"/>
      <c r="E90" s="51"/>
      <c r="F90" s="51"/>
      <c r="G90" s="51">
        <f t="shared" si="6"/>
        <v>0</v>
      </c>
    </row>
    <row r="91" spans="1:7" s="1" customFormat="1" ht="15" x14ac:dyDescent="0.3">
      <c r="A91" s="50" t="s">
        <v>11</v>
      </c>
      <c r="B91" s="51">
        <v>1</v>
      </c>
      <c r="C91" s="51">
        <f>100%*B91</f>
        <v>1</v>
      </c>
      <c r="D91" s="51"/>
      <c r="E91" s="51"/>
      <c r="F91" s="51"/>
      <c r="G91" s="51">
        <f t="shared" si="6"/>
        <v>0</v>
      </c>
    </row>
    <row r="92" spans="1:7" s="1" customFormat="1" ht="15" x14ac:dyDescent="0.3">
      <c r="A92" s="49" t="s">
        <v>12</v>
      </c>
      <c r="B92" s="99" t="s">
        <v>109</v>
      </c>
      <c r="C92" s="100"/>
      <c r="D92" s="52">
        <f>SUM(D83:D91)</f>
        <v>17.381280000000004</v>
      </c>
      <c r="E92" s="52">
        <f>SUM(E83:E91)</f>
        <v>19.237500000000004</v>
      </c>
      <c r="F92" s="52">
        <f>SUM(F83:F91)</f>
        <v>4.83</v>
      </c>
      <c r="G92" s="52">
        <f>SUM(G83:G91)</f>
        <v>261.98262</v>
      </c>
    </row>
    <row r="93" spans="1:7" s="1" customFormat="1" ht="15" x14ac:dyDescent="0.3"/>
    <row r="94" spans="1:7" s="1" customFormat="1" ht="15" x14ac:dyDescent="0.3">
      <c r="A94" s="63"/>
      <c r="B94" s="68"/>
      <c r="C94" s="68"/>
      <c r="D94" s="64"/>
      <c r="E94" s="64"/>
      <c r="F94" s="64"/>
      <c r="G94" s="64"/>
    </row>
    <row r="95" spans="1:7" s="1" customFormat="1" ht="15" x14ac:dyDescent="0.3">
      <c r="A95" s="103" t="s">
        <v>118</v>
      </c>
      <c r="B95" s="103"/>
      <c r="C95" s="103"/>
      <c r="D95" s="103"/>
      <c r="E95" s="103"/>
      <c r="F95" s="103"/>
      <c r="G95" s="103"/>
    </row>
    <row r="96" spans="1:7" s="1" customFormat="1" ht="30" x14ac:dyDescent="0.3">
      <c r="A96" s="95" t="s">
        <v>0</v>
      </c>
      <c r="B96" s="95" t="s">
        <v>1</v>
      </c>
      <c r="C96" s="95"/>
      <c r="D96" s="97" t="s">
        <v>2</v>
      </c>
      <c r="E96" s="97" t="s">
        <v>3</v>
      </c>
      <c r="F96" s="95" t="s">
        <v>4</v>
      </c>
      <c r="G96" s="49" t="s">
        <v>5</v>
      </c>
    </row>
    <row r="97" spans="1:7" s="1" customFormat="1" ht="15" x14ac:dyDescent="0.3">
      <c r="A97" s="95"/>
      <c r="B97" s="49" t="s">
        <v>6</v>
      </c>
      <c r="C97" s="49" t="s">
        <v>7</v>
      </c>
      <c r="D97" s="98"/>
      <c r="E97" s="98"/>
      <c r="F97" s="95"/>
      <c r="G97" s="49" t="s">
        <v>8</v>
      </c>
    </row>
    <row r="98" spans="1:7" s="1" customFormat="1" ht="15" x14ac:dyDescent="0.3">
      <c r="A98" s="50" t="s">
        <v>21</v>
      </c>
      <c r="B98" s="51">
        <v>100</v>
      </c>
      <c r="C98" s="51">
        <f>72%*B98</f>
        <v>72</v>
      </c>
      <c r="D98" s="51">
        <f>2.1%*C98</f>
        <v>1.512</v>
      </c>
      <c r="E98" s="51">
        <f>0.4%*C98</f>
        <v>0.28800000000000003</v>
      </c>
      <c r="F98" s="51">
        <f>15.6%*C98</f>
        <v>11.231999999999999</v>
      </c>
      <c r="G98" s="51">
        <f t="shared" ref="G98:G104" si="7">4*(D98+F98)+9*E98</f>
        <v>53.567999999999998</v>
      </c>
    </row>
    <row r="99" spans="1:7" s="1" customFormat="1" ht="15" x14ac:dyDescent="0.3">
      <c r="A99" s="50" t="s">
        <v>17</v>
      </c>
      <c r="B99" s="51">
        <v>30</v>
      </c>
      <c r="C99" s="51">
        <f>100%*B99</f>
        <v>30</v>
      </c>
      <c r="D99" s="51">
        <f>2.6%*C99</f>
        <v>0.78</v>
      </c>
      <c r="E99" s="51">
        <f>10%*C99</f>
        <v>3</v>
      </c>
      <c r="F99" s="51">
        <f>3.8%*C99</f>
        <v>1.1399999999999999</v>
      </c>
      <c r="G99" s="51">
        <f t="shared" si="7"/>
        <v>34.68</v>
      </c>
    </row>
    <row r="100" spans="1:7" s="1" customFormat="1" ht="15" x14ac:dyDescent="0.3">
      <c r="A100" s="50" t="s">
        <v>22</v>
      </c>
      <c r="B100" s="51">
        <v>50</v>
      </c>
      <c r="C100" s="51">
        <f>90%*B100</f>
        <v>45</v>
      </c>
      <c r="D100" s="51">
        <f>1.66%*C100</f>
        <v>0.747</v>
      </c>
      <c r="E100" s="51"/>
      <c r="F100" s="51">
        <f>10%*C100</f>
        <v>4.5</v>
      </c>
      <c r="G100" s="51">
        <f t="shared" si="7"/>
        <v>20.988</v>
      </c>
    </row>
    <row r="101" spans="1:7" s="1" customFormat="1" ht="15" x14ac:dyDescent="0.3">
      <c r="A101" s="50" t="s">
        <v>23</v>
      </c>
      <c r="B101" s="51">
        <v>50</v>
      </c>
      <c r="C101" s="51">
        <f>80%*B101</f>
        <v>40</v>
      </c>
      <c r="D101" s="51">
        <f>1.77%*C101</f>
        <v>0.70799999999999996</v>
      </c>
      <c r="E101" s="51"/>
      <c r="F101" s="51">
        <f>11%*C101</f>
        <v>4.4000000000000004</v>
      </c>
      <c r="G101" s="51">
        <f t="shared" si="7"/>
        <v>20.432000000000002</v>
      </c>
    </row>
    <row r="102" spans="1:7" s="1" customFormat="1" ht="15" x14ac:dyDescent="0.3">
      <c r="A102" s="50" t="s">
        <v>15</v>
      </c>
      <c r="B102" s="51">
        <v>5</v>
      </c>
      <c r="C102" s="51">
        <f>90%*B102</f>
        <v>4.5</v>
      </c>
      <c r="D102" s="51">
        <f>1.58%*C102</f>
        <v>7.110000000000001E-2</v>
      </c>
      <c r="E102" s="51"/>
      <c r="F102" s="51">
        <f>9.5%*C102</f>
        <v>0.42749999999999999</v>
      </c>
      <c r="G102" s="51">
        <f t="shared" si="7"/>
        <v>1.9944</v>
      </c>
    </row>
    <row r="103" spans="1:7" s="1" customFormat="1" ht="15" x14ac:dyDescent="0.3">
      <c r="A103" s="50" t="s">
        <v>19</v>
      </c>
      <c r="B103" s="51">
        <v>4</v>
      </c>
      <c r="C103" s="51">
        <f>85%*B103</f>
        <v>3.4</v>
      </c>
      <c r="D103" s="51"/>
      <c r="E103" s="51"/>
      <c r="F103" s="51"/>
      <c r="G103" s="51">
        <f t="shared" si="7"/>
        <v>0</v>
      </c>
    </row>
    <row r="104" spans="1:7" s="1" customFormat="1" ht="15" x14ac:dyDescent="0.3">
      <c r="A104" s="50" t="s">
        <v>11</v>
      </c>
      <c r="B104" s="51">
        <v>1</v>
      </c>
      <c r="C104" s="51">
        <f>100%*B104</f>
        <v>1</v>
      </c>
      <c r="D104" s="51"/>
      <c r="E104" s="51"/>
      <c r="F104" s="51"/>
      <c r="G104" s="51">
        <f t="shared" si="7"/>
        <v>0</v>
      </c>
    </row>
    <row r="105" spans="1:7" s="1" customFormat="1" ht="15" x14ac:dyDescent="0.3">
      <c r="A105" s="49" t="s">
        <v>12</v>
      </c>
      <c r="B105" s="99">
        <v>180</v>
      </c>
      <c r="C105" s="100"/>
      <c r="D105" s="52">
        <f>SUM(D98:D104)</f>
        <v>3.8180999999999998</v>
      </c>
      <c r="E105" s="52">
        <f>SUM(E98:E104)</f>
        <v>3.2880000000000003</v>
      </c>
      <c r="F105" s="52">
        <f>SUM(F98:F104)</f>
        <v>21.699499999999997</v>
      </c>
      <c r="G105" s="52">
        <f>SUM(G98:G104)</f>
        <v>131.66240000000002</v>
      </c>
    </row>
    <row r="106" spans="1:7" s="1" customFormat="1" ht="15" x14ac:dyDescent="0.3">
      <c r="A106" s="49" t="s">
        <v>49</v>
      </c>
      <c r="B106" s="52">
        <v>250</v>
      </c>
      <c r="C106" s="52">
        <v>250</v>
      </c>
      <c r="D106" s="52">
        <f>C106*7.9%</f>
        <v>19.75</v>
      </c>
      <c r="E106" s="52">
        <f>C106*1%</f>
        <v>2.5</v>
      </c>
      <c r="F106" s="52">
        <f>C106*49.6%</f>
        <v>124</v>
      </c>
      <c r="G106" s="52">
        <f>4*(D106+F106)+9*E106</f>
        <v>597.5</v>
      </c>
    </row>
    <row r="109" spans="1:7" s="1" customFormat="1" ht="15" x14ac:dyDescent="0.3">
      <c r="A109" s="57" t="s">
        <v>131</v>
      </c>
      <c r="B109" s="96">
        <f>C106+B105+54+200+B77</f>
        <v>884</v>
      </c>
      <c r="C109" s="96"/>
      <c r="D109" s="58">
        <f>D106+D105+D92+D77</f>
        <v>49.868180000000009</v>
      </c>
      <c r="E109" s="58">
        <f t="shared" ref="E109:G109" si="8">E106+E105+E92+E77</f>
        <v>37.790300000000002</v>
      </c>
      <c r="F109" s="58">
        <f t="shared" si="8"/>
        <v>161.9623</v>
      </c>
      <c r="G109" s="58">
        <f t="shared" si="8"/>
        <v>1187.43462</v>
      </c>
    </row>
    <row r="110" spans="1:7" s="1" customFormat="1" ht="15" x14ac:dyDescent="0.3"/>
    <row r="111" spans="1:7" s="1" customFormat="1" ht="15" x14ac:dyDescent="0.3"/>
    <row r="112" spans="1:7" s="1" customFormat="1" ht="15" x14ac:dyDescent="0.3">
      <c r="A112" s="57" t="s">
        <v>122</v>
      </c>
      <c r="B112" s="101">
        <f>B109+B64+B22</f>
        <v>2344</v>
      </c>
      <c r="C112" s="101"/>
      <c r="D112" s="67">
        <f>D109+D64+D22</f>
        <v>124.82872</v>
      </c>
      <c r="E112" s="67">
        <f>E109+E64+E22</f>
        <v>94.671200000000013</v>
      </c>
      <c r="F112" s="67">
        <f>F109+F64+F22</f>
        <v>430.01599999999996</v>
      </c>
      <c r="G112" s="67">
        <f>G109+G64+G22</f>
        <v>3071.4196800000004</v>
      </c>
    </row>
    <row r="113" s="1" customFormat="1" ht="15" x14ac:dyDescent="0.3"/>
    <row r="114" s="1" customFormat="1" ht="15" x14ac:dyDescent="0.3"/>
    <row r="115" s="1" customFormat="1" ht="15" x14ac:dyDescent="0.3"/>
  </sheetData>
  <mergeCells count="67">
    <mergeCell ref="B14:C14"/>
    <mergeCell ref="B64:C64"/>
    <mergeCell ref="A67:G67"/>
    <mergeCell ref="A68:A69"/>
    <mergeCell ref="B68:C68"/>
    <mergeCell ref="D68:D69"/>
    <mergeCell ref="E68:E69"/>
    <mergeCell ref="B34:C34"/>
    <mergeCell ref="A36:G36"/>
    <mergeCell ref="A37:A38"/>
    <mergeCell ref="F37:F38"/>
    <mergeCell ref="D37:D38"/>
    <mergeCell ref="E37:E38"/>
    <mergeCell ref="F50:F51"/>
    <mergeCell ref="B55:C55"/>
    <mergeCell ref="B47:C47"/>
    <mergeCell ref="D6:D7"/>
    <mergeCell ref="E6:E7"/>
    <mergeCell ref="F6:F7"/>
    <mergeCell ref="A2:G2"/>
    <mergeCell ref="A1:G1"/>
    <mergeCell ref="A3:G3"/>
    <mergeCell ref="E50:E51"/>
    <mergeCell ref="B37:C37"/>
    <mergeCell ref="A49:G49"/>
    <mergeCell ref="A50:A51"/>
    <mergeCell ref="B50:C50"/>
    <mergeCell ref="D50:D51"/>
    <mergeCell ref="A25:G25"/>
    <mergeCell ref="A26:A27"/>
    <mergeCell ref="B26:C26"/>
    <mergeCell ref="D26:D27"/>
    <mergeCell ref="E26:E27"/>
    <mergeCell ref="F26:F27"/>
    <mergeCell ref="A16:A17"/>
    <mergeCell ref="B16:C16"/>
    <mergeCell ref="D16:D17"/>
    <mergeCell ref="E16:E17"/>
    <mergeCell ref="F16:F17"/>
    <mergeCell ref="B20:C20"/>
    <mergeCell ref="B22:C22"/>
    <mergeCell ref="A6:A7"/>
    <mergeCell ref="B6:C6"/>
    <mergeCell ref="B112:C112"/>
    <mergeCell ref="B62:C62"/>
    <mergeCell ref="B59:C59"/>
    <mergeCell ref="B105:C105"/>
    <mergeCell ref="B92:C92"/>
    <mergeCell ref="A80:G80"/>
    <mergeCell ref="A81:A82"/>
    <mergeCell ref="F68:F69"/>
    <mergeCell ref="D96:D97"/>
    <mergeCell ref="E96:E97"/>
    <mergeCell ref="A95:G95"/>
    <mergeCell ref="A96:A97"/>
    <mergeCell ref="B96:C96"/>
    <mergeCell ref="B109:C109"/>
    <mergeCell ref="F96:F97"/>
    <mergeCell ref="A59:A60"/>
    <mergeCell ref="D59:D60"/>
    <mergeCell ref="E59:E60"/>
    <mergeCell ref="F59:F60"/>
    <mergeCell ref="B81:C81"/>
    <mergeCell ref="D81:D82"/>
    <mergeCell ref="E81:E82"/>
    <mergeCell ref="F81:F82"/>
    <mergeCell ref="B77:C77"/>
  </mergeCells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ორშაბათი</vt:lpstr>
      <vt:lpstr>სამშაბათი</vt:lpstr>
      <vt:lpstr>ოთხშაბათი</vt:lpstr>
      <vt:lpstr>ხუთშაბათი</vt:lpstr>
      <vt:lpstr>პარასკევი</vt:lpstr>
      <vt:lpstr>შაბათი</vt:lpstr>
      <vt:lpstr>კვირა</vt:lpstr>
      <vt:lpstr>პარასკევი!Print_Area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Nana Goksadze</dc:creator>
  <cp:lastModifiedBy>Zaur Abashvili</cp:lastModifiedBy>
  <dcterms:created xsi:type="dcterms:W3CDTF">2022-08-30T09:53:07Z</dcterms:created>
  <dcterms:modified xsi:type="dcterms:W3CDTF">2022-10-21T08:55:47Z</dcterms:modified>
</cp:coreProperties>
</file>