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rekhviashvili\Desktop\ეკონომიკურის ბრძანებები\"/>
    </mc:Choice>
  </mc:AlternateContent>
  <bookViews>
    <workbookView xWindow="0" yWindow="0" windowWidth="28800" windowHeight="12300" activeTab="6"/>
  </bookViews>
  <sheets>
    <sheet name="ორშაბათი" sheetId="1" r:id="rId1"/>
    <sheet name="სამშაბათი" sheetId="2" r:id="rId2"/>
    <sheet name="ოთხშაბათი" sheetId="3" r:id="rId3"/>
    <sheet name="ხუთშაბათი" sheetId="4" r:id="rId4"/>
    <sheet name="პარასკევი" sheetId="5" r:id="rId5"/>
    <sheet name="შაბათი" sheetId="6" r:id="rId6"/>
    <sheet name="კვირა" sheetId="7" r:id="rId7"/>
  </sheets>
  <definedNames>
    <definedName name="_xlnm.Print_Area" localSheetId="6">კვირა!$A$1:$G$126</definedName>
    <definedName name="_xlnm.Print_Area" localSheetId="2">ოთხშაბათი!$A$1:$G$143</definedName>
    <definedName name="_xlnm.Print_Area" localSheetId="0">ორშაბათი!$A$1:$G$131</definedName>
    <definedName name="_xlnm.Print_Area" localSheetId="4">პარასკევი!$A$1:$G$153</definedName>
    <definedName name="_xlnm.Print_Area" localSheetId="1">სამშაბათი!$A$1:$G$127</definedName>
    <definedName name="_xlnm.Print_Area" localSheetId="5">შაბათი!$A$1:$G$135</definedName>
    <definedName name="_xlnm.Print_Area" localSheetId="3">ხუთშაბათი!$A$1:$G$153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5" i="7" l="1"/>
  <c r="B81" i="7"/>
  <c r="B39" i="7"/>
  <c r="B127" i="6"/>
  <c r="B103" i="6"/>
  <c r="B41" i="6"/>
  <c r="B145" i="5"/>
  <c r="B106" i="5"/>
  <c r="B49" i="5"/>
  <c r="B144" i="4"/>
  <c r="B95" i="4"/>
  <c r="B35" i="4"/>
  <c r="B135" i="3"/>
  <c r="B97" i="3"/>
  <c r="B27" i="3"/>
  <c r="B119" i="2"/>
  <c r="B89" i="2"/>
  <c r="B29" i="2"/>
  <c r="G61" i="4" l="1"/>
  <c r="C61" i="4"/>
  <c r="G60" i="4"/>
  <c r="C60" i="4"/>
  <c r="C59" i="4"/>
  <c r="E59" i="4" s="1"/>
  <c r="G59" i="4" s="1"/>
  <c r="C58" i="4"/>
  <c r="F58" i="4" s="1"/>
  <c r="C57" i="4"/>
  <c r="F57" i="4" s="1"/>
  <c r="C56" i="4"/>
  <c r="F56" i="4" s="1"/>
  <c r="D58" i="4" l="1"/>
  <c r="G58" i="4" s="1"/>
  <c r="F62" i="4"/>
  <c r="D56" i="4"/>
  <c r="E56" i="4"/>
  <c r="E62" i="4" s="1"/>
  <c r="D57" i="4"/>
  <c r="G57" i="4" s="1"/>
  <c r="D62" i="4" l="1"/>
  <c r="G56" i="4"/>
  <c r="G62" i="4" s="1"/>
  <c r="C24" i="3" l="1"/>
  <c r="F24" i="3" s="1"/>
  <c r="C117" i="2"/>
  <c r="F117" i="2" s="1"/>
  <c r="D24" i="3" l="1"/>
  <c r="E24" i="3"/>
  <c r="E117" i="2"/>
  <c r="D117" i="2"/>
  <c r="G117" i="2" s="1"/>
  <c r="G24" i="3" l="1"/>
  <c r="B148" i="4" l="1"/>
  <c r="C99" i="1"/>
  <c r="G99" i="1"/>
  <c r="B122" i="2"/>
  <c r="C121" i="1" l="1"/>
  <c r="B121" i="7"/>
  <c r="C121" i="7"/>
  <c r="C114" i="7"/>
  <c r="F114" i="7" s="1"/>
  <c r="C113" i="7"/>
  <c r="E113" i="7" s="1"/>
  <c r="F112" i="7"/>
  <c r="E112" i="7"/>
  <c r="D112" i="7"/>
  <c r="C111" i="7"/>
  <c r="F111" i="7" s="1"/>
  <c r="G111" i="7" s="1"/>
  <c r="G110" i="7"/>
  <c r="C110" i="7"/>
  <c r="G102" i="7"/>
  <c r="C102" i="7"/>
  <c r="C101" i="7"/>
  <c r="E101" i="7" s="1"/>
  <c r="G101" i="7" s="1"/>
  <c r="C100" i="7"/>
  <c r="F100" i="7" s="1"/>
  <c r="C99" i="7"/>
  <c r="F99" i="7" s="1"/>
  <c r="C91" i="7"/>
  <c r="E91" i="7" s="1"/>
  <c r="G91" i="7" s="1"/>
  <c r="C90" i="7"/>
  <c r="F90" i="7" s="1"/>
  <c r="C89" i="7"/>
  <c r="E89" i="7" s="1"/>
  <c r="C79" i="7"/>
  <c r="F79" i="7" s="1"/>
  <c r="G71" i="7"/>
  <c r="C71" i="7"/>
  <c r="C69" i="7"/>
  <c r="F69" i="7" s="1"/>
  <c r="C68" i="7"/>
  <c r="F68" i="7" s="1"/>
  <c r="C67" i="7"/>
  <c r="F67" i="7" s="1"/>
  <c r="C66" i="7"/>
  <c r="F66" i="7" s="1"/>
  <c r="C65" i="7"/>
  <c r="F65" i="7" s="1"/>
  <c r="C64" i="7"/>
  <c r="F64" i="7" s="1"/>
  <c r="C62" i="7"/>
  <c r="E62" i="7" s="1"/>
  <c r="G62" i="7" s="1"/>
  <c r="C61" i="7"/>
  <c r="E61" i="7" s="1"/>
  <c r="C53" i="7"/>
  <c r="E53" i="7" s="1"/>
  <c r="G53" i="7" s="1"/>
  <c r="G52" i="7"/>
  <c r="C52" i="7"/>
  <c r="C51" i="7"/>
  <c r="E51" i="7" s="1"/>
  <c r="C50" i="7"/>
  <c r="F50" i="7" s="1"/>
  <c r="C49" i="7"/>
  <c r="E49" i="7" s="1"/>
  <c r="C48" i="7"/>
  <c r="F48" i="7" s="1"/>
  <c r="C47" i="7"/>
  <c r="E47" i="7" s="1"/>
  <c r="G21" i="7"/>
  <c r="C21" i="7"/>
  <c r="F12" i="7"/>
  <c r="C12" i="7"/>
  <c r="E12" i="7" s="1"/>
  <c r="G92" i="7"/>
  <c r="C92" i="7"/>
  <c r="C80" i="7"/>
  <c r="F80" i="7" s="1"/>
  <c r="G70" i="7"/>
  <c r="C70" i="7"/>
  <c r="G63" i="7"/>
  <c r="C63" i="7"/>
  <c r="G54" i="7"/>
  <c r="C54" i="7"/>
  <c r="G36" i="7"/>
  <c r="C36" i="7"/>
  <c r="C35" i="7"/>
  <c r="E35" i="7" s="1"/>
  <c r="G35" i="7" s="1"/>
  <c r="G34" i="7"/>
  <c r="C34" i="7"/>
  <c r="C33" i="7"/>
  <c r="E33" i="7" s="1"/>
  <c r="C32" i="7"/>
  <c r="D32" i="7" s="1"/>
  <c r="C31" i="7"/>
  <c r="D31" i="7" s="1"/>
  <c r="C38" i="7"/>
  <c r="E38" i="7" s="1"/>
  <c r="C22" i="7"/>
  <c r="F22" i="7" s="1"/>
  <c r="G22" i="7" s="1"/>
  <c r="D23" i="7"/>
  <c r="E23" i="7"/>
  <c r="G13" i="7"/>
  <c r="C13" i="7"/>
  <c r="C11" i="7"/>
  <c r="D11" i="7" s="1"/>
  <c r="C10" i="7"/>
  <c r="E10" i="7" s="1"/>
  <c r="G10" i="7" s="1"/>
  <c r="C9" i="7"/>
  <c r="E9" i="7" s="1"/>
  <c r="C126" i="6"/>
  <c r="F126" i="6" s="1"/>
  <c r="C116" i="6"/>
  <c r="E116" i="6" s="1"/>
  <c r="G116" i="6" s="1"/>
  <c r="C115" i="6"/>
  <c r="E115" i="6" s="1"/>
  <c r="C114" i="6"/>
  <c r="F114" i="6" s="1"/>
  <c r="C112" i="6"/>
  <c r="F112" i="6" s="1"/>
  <c r="C102" i="6"/>
  <c r="F102" i="6" s="1"/>
  <c r="C101" i="6"/>
  <c r="F101" i="6" s="1"/>
  <c r="G95" i="6"/>
  <c r="C95" i="6"/>
  <c r="C125" i="6"/>
  <c r="E125" i="6" s="1"/>
  <c r="G117" i="6"/>
  <c r="C117" i="6"/>
  <c r="C113" i="6"/>
  <c r="F113" i="6" s="1"/>
  <c r="C111" i="6"/>
  <c r="E111" i="6" s="1"/>
  <c r="C94" i="6"/>
  <c r="E94" i="6" s="1"/>
  <c r="G94" i="6" s="1"/>
  <c r="F93" i="6"/>
  <c r="C93" i="6"/>
  <c r="D93" i="6" s="1"/>
  <c r="C92" i="6"/>
  <c r="D92" i="6" s="1"/>
  <c r="C83" i="6"/>
  <c r="D83" i="6" s="1"/>
  <c r="G82" i="6"/>
  <c r="C82" i="6"/>
  <c r="C81" i="6"/>
  <c r="E81" i="6" s="1"/>
  <c r="C80" i="6"/>
  <c r="E80" i="6" s="1"/>
  <c r="G80" i="6" s="1"/>
  <c r="G79" i="6"/>
  <c r="C79" i="6"/>
  <c r="C78" i="6"/>
  <c r="F78" i="6" s="1"/>
  <c r="C77" i="6"/>
  <c r="D77" i="6" s="1"/>
  <c r="C76" i="6"/>
  <c r="F76" i="6" s="1"/>
  <c r="G68" i="6"/>
  <c r="C68" i="6"/>
  <c r="C67" i="6"/>
  <c r="E67" i="6" s="1"/>
  <c r="G67" i="6" s="1"/>
  <c r="G66" i="6"/>
  <c r="C66" i="6"/>
  <c r="C65" i="6"/>
  <c r="F65" i="6" s="1"/>
  <c r="G65" i="6" s="1"/>
  <c r="C64" i="6"/>
  <c r="E64" i="6" s="1"/>
  <c r="C63" i="6"/>
  <c r="F63" i="6" s="1"/>
  <c r="C62" i="6"/>
  <c r="F62" i="6" s="1"/>
  <c r="C61" i="6"/>
  <c r="F61" i="6" s="1"/>
  <c r="C55" i="6"/>
  <c r="E55" i="6" s="1"/>
  <c r="G54" i="6"/>
  <c r="C54" i="6"/>
  <c r="C53" i="6"/>
  <c r="F53" i="6" s="1"/>
  <c r="C52" i="6"/>
  <c r="F52" i="6" s="1"/>
  <c r="C51" i="6"/>
  <c r="F51" i="6" s="1"/>
  <c r="C50" i="6"/>
  <c r="E50" i="6" s="1"/>
  <c r="C49" i="6"/>
  <c r="E49" i="6" s="1"/>
  <c r="C40" i="6"/>
  <c r="D40" i="6" s="1"/>
  <c r="C39" i="6"/>
  <c r="F39" i="6" s="1"/>
  <c r="F38" i="6"/>
  <c r="E38" i="6"/>
  <c r="D38" i="6"/>
  <c r="C37" i="6"/>
  <c r="F37" i="6" s="1"/>
  <c r="G37" i="6" s="1"/>
  <c r="G36" i="6"/>
  <c r="C36" i="6"/>
  <c r="C26" i="6"/>
  <c r="F26" i="6" s="1"/>
  <c r="G26" i="6" s="1"/>
  <c r="G25" i="6"/>
  <c r="C25" i="6"/>
  <c r="C24" i="6"/>
  <c r="C23" i="6"/>
  <c r="D23" i="6" s="1"/>
  <c r="C22" i="6"/>
  <c r="G14" i="6"/>
  <c r="C14" i="6"/>
  <c r="C13" i="6"/>
  <c r="E13" i="6" s="1"/>
  <c r="C12" i="6"/>
  <c r="D12" i="6" s="1"/>
  <c r="C11" i="6"/>
  <c r="E11" i="6" s="1"/>
  <c r="G11" i="6" s="1"/>
  <c r="C10" i="6"/>
  <c r="E10" i="6" s="1"/>
  <c r="C9" i="6"/>
  <c r="E9" i="6" s="1"/>
  <c r="B148" i="5"/>
  <c r="C132" i="5"/>
  <c r="F132" i="5" s="1"/>
  <c r="C131" i="5"/>
  <c r="E131" i="5" s="1"/>
  <c r="C130" i="5"/>
  <c r="F130" i="5" s="1"/>
  <c r="C121" i="5"/>
  <c r="F121" i="5" s="1"/>
  <c r="G119" i="5"/>
  <c r="C119" i="5"/>
  <c r="C118" i="5"/>
  <c r="F118" i="5" s="1"/>
  <c r="C117" i="5"/>
  <c r="E117" i="5" s="1"/>
  <c r="G117" i="5" s="1"/>
  <c r="C116" i="5"/>
  <c r="F116" i="5" s="1"/>
  <c r="C115" i="5"/>
  <c r="F115" i="5" s="1"/>
  <c r="F94" i="5"/>
  <c r="C94" i="5"/>
  <c r="E94" i="5" s="1"/>
  <c r="C80" i="5"/>
  <c r="F80" i="5" s="1"/>
  <c r="G84" i="5"/>
  <c r="C84" i="5"/>
  <c r="C83" i="5"/>
  <c r="E83" i="5" s="1"/>
  <c r="C82" i="5"/>
  <c r="F82" i="5" s="1"/>
  <c r="G81" i="5"/>
  <c r="C81" i="5"/>
  <c r="C79" i="5"/>
  <c r="E79" i="5" s="1"/>
  <c r="G71" i="5"/>
  <c r="C71" i="5"/>
  <c r="C70" i="5"/>
  <c r="F70" i="5" s="1"/>
  <c r="G69" i="5"/>
  <c r="C69" i="5"/>
  <c r="C68" i="5"/>
  <c r="E68" i="5" s="1"/>
  <c r="C67" i="5"/>
  <c r="F67" i="5" s="1"/>
  <c r="F74" i="5" s="1"/>
  <c r="C58" i="5"/>
  <c r="F58" i="5" s="1"/>
  <c r="C57" i="5"/>
  <c r="D57" i="5" s="1"/>
  <c r="C56" i="5"/>
  <c r="F56" i="5" s="1"/>
  <c r="C55" i="5"/>
  <c r="F55" i="5" s="1"/>
  <c r="C47" i="5"/>
  <c r="F47" i="5" s="1"/>
  <c r="G47" i="5" s="1"/>
  <c r="C41" i="5"/>
  <c r="F41" i="5" s="1"/>
  <c r="G41" i="5" s="1"/>
  <c r="G37" i="5"/>
  <c r="C37" i="5"/>
  <c r="C24" i="5"/>
  <c r="E24" i="5" s="1"/>
  <c r="G24" i="5" s="1"/>
  <c r="F11" i="5"/>
  <c r="C11" i="5"/>
  <c r="D11" i="5" s="1"/>
  <c r="C144" i="5"/>
  <c r="F144" i="5" s="1"/>
  <c r="E143" i="5"/>
  <c r="D143" i="5"/>
  <c r="C142" i="5"/>
  <c r="F142" i="5" s="1"/>
  <c r="G141" i="5"/>
  <c r="C141" i="5"/>
  <c r="G134" i="5"/>
  <c r="C134" i="5"/>
  <c r="C133" i="5"/>
  <c r="E133" i="5" s="1"/>
  <c r="G133" i="5" s="1"/>
  <c r="G120" i="5"/>
  <c r="C120" i="5"/>
  <c r="C114" i="5"/>
  <c r="E114" i="5" s="1"/>
  <c r="C105" i="5"/>
  <c r="D105" i="5" s="1"/>
  <c r="C98" i="5"/>
  <c r="F98" i="5" s="1"/>
  <c r="G96" i="5"/>
  <c r="C96" i="5"/>
  <c r="C95" i="5"/>
  <c r="E95" i="5" s="1"/>
  <c r="G95" i="5" s="1"/>
  <c r="C93" i="5"/>
  <c r="F93" i="5" s="1"/>
  <c r="G73" i="5"/>
  <c r="C73" i="5"/>
  <c r="C72" i="5"/>
  <c r="E72" i="5" s="1"/>
  <c r="G72" i="5" s="1"/>
  <c r="C40" i="5"/>
  <c r="E40" i="5" s="1"/>
  <c r="C38" i="5"/>
  <c r="F38" i="5" s="1"/>
  <c r="G38" i="5" s="1"/>
  <c r="C48" i="5"/>
  <c r="C29" i="5"/>
  <c r="F29" i="5" s="1"/>
  <c r="G27" i="5"/>
  <c r="C27" i="5"/>
  <c r="C26" i="5"/>
  <c r="E26" i="5" s="1"/>
  <c r="C25" i="5"/>
  <c r="F25" i="5" s="1"/>
  <c r="C23" i="5"/>
  <c r="F23" i="5" s="1"/>
  <c r="G23" i="5" s="1"/>
  <c r="C22" i="5"/>
  <c r="D22" i="5" s="1"/>
  <c r="G13" i="5"/>
  <c r="C13" i="5"/>
  <c r="C12" i="5"/>
  <c r="F12" i="5" s="1"/>
  <c r="G12" i="5" s="1"/>
  <c r="C10" i="5"/>
  <c r="E10" i="5" s="1"/>
  <c r="G10" i="5" s="1"/>
  <c r="C9" i="5"/>
  <c r="D9" i="5" s="1"/>
  <c r="D14" i="5" s="1"/>
  <c r="C114" i="4"/>
  <c r="F114" i="4" s="1"/>
  <c r="G118" i="4"/>
  <c r="C118" i="4"/>
  <c r="G117" i="4"/>
  <c r="C117" i="4"/>
  <c r="C116" i="4"/>
  <c r="E116" i="4" s="1"/>
  <c r="G116" i="4" s="1"/>
  <c r="C115" i="4"/>
  <c r="F115" i="4" s="1"/>
  <c r="C113" i="4"/>
  <c r="F113" i="4" s="1"/>
  <c r="C143" i="4"/>
  <c r="F143" i="4" s="1"/>
  <c r="D94" i="4"/>
  <c r="E94" i="4"/>
  <c r="C92" i="4"/>
  <c r="F92" i="4" s="1"/>
  <c r="G92" i="4" s="1"/>
  <c r="C49" i="4"/>
  <c r="E49" i="4" s="1"/>
  <c r="G49" i="4" s="1"/>
  <c r="C48" i="4"/>
  <c r="E48" i="4" s="1"/>
  <c r="C47" i="4"/>
  <c r="E47" i="4" s="1"/>
  <c r="C46" i="4"/>
  <c r="F46" i="4" s="1"/>
  <c r="G45" i="4"/>
  <c r="C45" i="4"/>
  <c r="C44" i="4"/>
  <c r="F44" i="4" s="1"/>
  <c r="C43" i="4"/>
  <c r="F43" i="4" s="1"/>
  <c r="C42" i="4"/>
  <c r="F42" i="4" s="1"/>
  <c r="C41" i="4"/>
  <c r="F41" i="4" s="1"/>
  <c r="G13" i="4"/>
  <c r="C13" i="4"/>
  <c r="C12" i="4"/>
  <c r="F12" i="4" s="1"/>
  <c r="G12" i="4" s="1"/>
  <c r="F11" i="4"/>
  <c r="C11" i="4"/>
  <c r="D11" i="4" s="1"/>
  <c r="C10" i="4"/>
  <c r="E10" i="4" s="1"/>
  <c r="G10" i="4" s="1"/>
  <c r="C9" i="4"/>
  <c r="F9" i="4" s="1"/>
  <c r="E142" i="4"/>
  <c r="C141" i="4"/>
  <c r="F141" i="4" s="1"/>
  <c r="G141" i="4" s="1"/>
  <c r="G140" i="4"/>
  <c r="C140" i="4"/>
  <c r="C104" i="4"/>
  <c r="C103" i="4"/>
  <c r="E103" i="4" s="1"/>
  <c r="G132" i="4"/>
  <c r="C132" i="4"/>
  <c r="G131" i="4"/>
  <c r="C131" i="4"/>
  <c r="C130" i="4"/>
  <c r="E130" i="4" s="1"/>
  <c r="G130" i="4" s="1"/>
  <c r="C129" i="4"/>
  <c r="F129" i="4" s="1"/>
  <c r="G129" i="4" s="1"/>
  <c r="C128" i="4"/>
  <c r="C127" i="4"/>
  <c r="E127" i="4" s="1"/>
  <c r="C126" i="4"/>
  <c r="E126" i="4" s="1"/>
  <c r="C93" i="4"/>
  <c r="F93" i="4" s="1"/>
  <c r="G93" i="4" s="1"/>
  <c r="G94" i="4" s="1"/>
  <c r="C84" i="4"/>
  <c r="G82" i="4"/>
  <c r="C82" i="4"/>
  <c r="C81" i="4"/>
  <c r="E81" i="4" s="1"/>
  <c r="C80" i="4"/>
  <c r="E80" i="4" s="1"/>
  <c r="G74" i="4"/>
  <c r="C74" i="4"/>
  <c r="G73" i="4"/>
  <c r="C73" i="4"/>
  <c r="G72" i="4"/>
  <c r="C72" i="4"/>
  <c r="C71" i="4"/>
  <c r="E71" i="4" s="1"/>
  <c r="G71" i="4" s="1"/>
  <c r="C70" i="4"/>
  <c r="F70" i="4" s="1"/>
  <c r="G70" i="4" s="1"/>
  <c r="C69" i="4"/>
  <c r="D69" i="4" s="1"/>
  <c r="C68" i="4"/>
  <c r="F68" i="4" s="1"/>
  <c r="C67" i="4"/>
  <c r="E67" i="4" s="1"/>
  <c r="C34" i="4"/>
  <c r="F34" i="4" s="1"/>
  <c r="G33" i="4"/>
  <c r="C33" i="4"/>
  <c r="C32" i="4"/>
  <c r="E32" i="4" s="1"/>
  <c r="C25" i="4"/>
  <c r="D25" i="4" s="1"/>
  <c r="C23" i="4"/>
  <c r="F23" i="4" s="1"/>
  <c r="G22" i="4"/>
  <c r="C22" i="4"/>
  <c r="C133" i="3"/>
  <c r="F133" i="3" s="1"/>
  <c r="C105" i="3"/>
  <c r="F105" i="3" s="1"/>
  <c r="C65" i="3"/>
  <c r="E65" i="3" s="1"/>
  <c r="G71" i="3"/>
  <c r="C71" i="3"/>
  <c r="G70" i="3"/>
  <c r="C70" i="3"/>
  <c r="G69" i="3"/>
  <c r="C69" i="3"/>
  <c r="G68" i="3"/>
  <c r="C68" i="3"/>
  <c r="C67" i="3"/>
  <c r="E67" i="3" s="1"/>
  <c r="G67" i="3" s="1"/>
  <c r="C66" i="3"/>
  <c r="F66" i="3" s="1"/>
  <c r="C64" i="3"/>
  <c r="D64" i="3" s="1"/>
  <c r="C57" i="3"/>
  <c r="C56" i="3"/>
  <c r="E56" i="3" s="1"/>
  <c r="G55" i="3"/>
  <c r="C55" i="3"/>
  <c r="C54" i="3"/>
  <c r="E54" i="3" s="1"/>
  <c r="C53" i="3"/>
  <c r="F53" i="3" s="1"/>
  <c r="C52" i="3"/>
  <c r="D52" i="3" s="1"/>
  <c r="C51" i="3"/>
  <c r="F51" i="3" s="1"/>
  <c r="C50" i="3"/>
  <c r="D50" i="3" s="1"/>
  <c r="C49" i="3"/>
  <c r="F49" i="3" s="1"/>
  <c r="C37" i="3"/>
  <c r="E37" i="3" s="1"/>
  <c r="G37" i="3" s="1"/>
  <c r="C36" i="3"/>
  <c r="E36" i="3" s="1"/>
  <c r="C26" i="3"/>
  <c r="E26" i="3" s="1"/>
  <c r="C25" i="3"/>
  <c r="F25" i="3" s="1"/>
  <c r="G25" i="3" s="1"/>
  <c r="F11" i="3"/>
  <c r="C11" i="3"/>
  <c r="E11" i="3" s="1"/>
  <c r="B138" i="3"/>
  <c r="E132" i="3"/>
  <c r="D132" i="3"/>
  <c r="C131" i="3"/>
  <c r="F131" i="3" s="1"/>
  <c r="G130" i="3"/>
  <c r="C130" i="3"/>
  <c r="C134" i="3"/>
  <c r="F134" i="3" s="1"/>
  <c r="G122" i="3"/>
  <c r="C122" i="3"/>
  <c r="G121" i="3"/>
  <c r="C121" i="3"/>
  <c r="C120" i="3"/>
  <c r="E120" i="3" s="1"/>
  <c r="C119" i="3"/>
  <c r="F119" i="3" s="1"/>
  <c r="C118" i="3"/>
  <c r="F118" i="3" s="1"/>
  <c r="C117" i="3"/>
  <c r="F117" i="3" s="1"/>
  <c r="C108" i="3"/>
  <c r="E108" i="3" s="1"/>
  <c r="G107" i="3"/>
  <c r="C107" i="3"/>
  <c r="C106" i="3"/>
  <c r="E106" i="3" s="1"/>
  <c r="C96" i="3"/>
  <c r="F96" i="3" s="1"/>
  <c r="C95" i="3"/>
  <c r="F95" i="3" s="1"/>
  <c r="G95" i="3" s="1"/>
  <c r="G86" i="3"/>
  <c r="C86" i="3"/>
  <c r="G85" i="3"/>
  <c r="C85" i="3"/>
  <c r="C84" i="3"/>
  <c r="E84" i="3" s="1"/>
  <c r="G84" i="3" s="1"/>
  <c r="C83" i="3"/>
  <c r="E83" i="3" s="1"/>
  <c r="C41" i="3"/>
  <c r="F41" i="3" s="1"/>
  <c r="G39" i="3"/>
  <c r="C39" i="3"/>
  <c r="G38" i="3"/>
  <c r="C38" i="3"/>
  <c r="C35" i="3"/>
  <c r="F35" i="3" s="1"/>
  <c r="C34" i="3"/>
  <c r="F34" i="3" s="1"/>
  <c r="C33" i="3"/>
  <c r="F33" i="3" s="1"/>
  <c r="E23" i="3"/>
  <c r="D23" i="3"/>
  <c r="C22" i="3"/>
  <c r="F22" i="3" s="1"/>
  <c r="F23" i="3" s="1"/>
  <c r="G21" i="3"/>
  <c r="C21" i="3"/>
  <c r="G13" i="3"/>
  <c r="C13" i="3"/>
  <c r="C12" i="3"/>
  <c r="F12" i="3" s="1"/>
  <c r="G12" i="3" s="1"/>
  <c r="C10" i="3"/>
  <c r="E10" i="3" s="1"/>
  <c r="G10" i="3" s="1"/>
  <c r="C9" i="3"/>
  <c r="E9" i="3" s="1"/>
  <c r="E14" i="3" s="1"/>
  <c r="C109" i="2"/>
  <c r="F109" i="2" s="1"/>
  <c r="F112" i="2" s="1"/>
  <c r="C88" i="2"/>
  <c r="F88" i="2" s="1"/>
  <c r="C67" i="2"/>
  <c r="F67" i="2" s="1"/>
  <c r="C55" i="2"/>
  <c r="E55" i="2" s="1"/>
  <c r="G57" i="2"/>
  <c r="C57" i="2"/>
  <c r="C48" i="2"/>
  <c r="F48" i="2" s="1"/>
  <c r="C56" i="2"/>
  <c r="F56" i="2" s="1"/>
  <c r="G56" i="2" s="1"/>
  <c r="C54" i="2"/>
  <c r="D54" i="2" s="1"/>
  <c r="G53" i="2"/>
  <c r="C53" i="2"/>
  <c r="C52" i="2"/>
  <c r="F52" i="2" s="1"/>
  <c r="C51" i="2"/>
  <c r="E51" i="2" s="1"/>
  <c r="G51" i="2" s="1"/>
  <c r="C50" i="2"/>
  <c r="F50" i="2" s="1"/>
  <c r="C49" i="2"/>
  <c r="F49" i="2" s="1"/>
  <c r="C38" i="2"/>
  <c r="F38" i="2" s="1"/>
  <c r="C28" i="2"/>
  <c r="E28" i="2" s="1"/>
  <c r="C27" i="2"/>
  <c r="F27" i="2" s="1"/>
  <c r="C26" i="2"/>
  <c r="E26" i="2" s="1"/>
  <c r="D25" i="2"/>
  <c r="E25" i="2"/>
  <c r="F11" i="2"/>
  <c r="C11" i="2"/>
  <c r="E11" i="2" s="1"/>
  <c r="G13" i="2"/>
  <c r="C13" i="2"/>
  <c r="C12" i="2"/>
  <c r="F12" i="2" s="1"/>
  <c r="G12" i="2" s="1"/>
  <c r="C10" i="2"/>
  <c r="E10" i="2" s="1"/>
  <c r="G10" i="2" s="1"/>
  <c r="C9" i="2"/>
  <c r="F9" i="2" s="1"/>
  <c r="C118" i="2"/>
  <c r="C111" i="2"/>
  <c r="E111" i="2" s="1"/>
  <c r="G111" i="2" s="1"/>
  <c r="G110" i="2"/>
  <c r="C110" i="2"/>
  <c r="C103" i="2"/>
  <c r="E103" i="2" s="1"/>
  <c r="G102" i="2"/>
  <c r="C102" i="2"/>
  <c r="G101" i="2"/>
  <c r="C101" i="2"/>
  <c r="C100" i="2"/>
  <c r="D100" i="2" s="1"/>
  <c r="C99" i="2"/>
  <c r="E99" i="2" s="1"/>
  <c r="G99" i="2" s="1"/>
  <c r="C98" i="2"/>
  <c r="E98" i="2" s="1"/>
  <c r="C97" i="2"/>
  <c r="F97" i="2" s="1"/>
  <c r="C82" i="2"/>
  <c r="F82" i="2" s="1"/>
  <c r="G80" i="2"/>
  <c r="C80" i="2"/>
  <c r="C79" i="2"/>
  <c r="E79" i="2" s="1"/>
  <c r="C78" i="2"/>
  <c r="F78" i="2" s="1"/>
  <c r="F81" i="2" s="1"/>
  <c r="C72" i="2"/>
  <c r="E72" i="2" s="1"/>
  <c r="G72" i="2" s="1"/>
  <c r="G70" i="2"/>
  <c r="C70" i="2"/>
  <c r="G69" i="2"/>
  <c r="C69" i="2"/>
  <c r="C68" i="2"/>
  <c r="C66" i="2"/>
  <c r="D66" i="2" s="1"/>
  <c r="C65" i="2"/>
  <c r="E65" i="2" s="1"/>
  <c r="G41" i="2"/>
  <c r="C41" i="2"/>
  <c r="C40" i="2"/>
  <c r="D40" i="2" s="1"/>
  <c r="G39" i="2"/>
  <c r="C39" i="2"/>
  <c r="C37" i="2"/>
  <c r="D37" i="2" s="1"/>
  <c r="C36" i="2"/>
  <c r="F36" i="2" s="1"/>
  <c r="C35" i="2"/>
  <c r="D35" i="2" s="1"/>
  <c r="C24" i="2"/>
  <c r="F24" i="2" s="1"/>
  <c r="G24" i="2" s="1"/>
  <c r="G23" i="2"/>
  <c r="C23" i="2"/>
  <c r="F64" i="6" l="1"/>
  <c r="F70" i="6" s="1"/>
  <c r="F121" i="1"/>
  <c r="G112" i="7"/>
  <c r="E23" i="6"/>
  <c r="E70" i="6"/>
  <c r="E126" i="6"/>
  <c r="F50" i="3"/>
  <c r="F123" i="3"/>
  <c r="G25" i="2"/>
  <c r="D51" i="6"/>
  <c r="G56" i="3"/>
  <c r="G108" i="3"/>
  <c r="G120" i="3"/>
  <c r="D36" i="3"/>
  <c r="E87" i="3"/>
  <c r="F36" i="3"/>
  <c r="F42" i="3" s="1"/>
  <c r="F9" i="3"/>
  <c r="F14" i="3" s="1"/>
  <c r="D53" i="3"/>
  <c r="D103" i="2"/>
  <c r="F40" i="2"/>
  <c r="D36" i="2"/>
  <c r="G36" i="2" s="1"/>
  <c r="F100" i="2"/>
  <c r="F104" i="2" s="1"/>
  <c r="D121" i="1"/>
  <c r="E121" i="1"/>
  <c r="D113" i="7"/>
  <c r="F113" i="7"/>
  <c r="D114" i="7"/>
  <c r="E114" i="7"/>
  <c r="D12" i="7"/>
  <c r="G12" i="7" s="1"/>
  <c r="F103" i="7"/>
  <c r="D99" i="7"/>
  <c r="D100" i="7"/>
  <c r="G100" i="7" s="1"/>
  <c r="E99" i="7"/>
  <c r="E103" i="7" s="1"/>
  <c r="D90" i="7"/>
  <c r="E90" i="7"/>
  <c r="D89" i="7"/>
  <c r="G89" i="7" s="1"/>
  <c r="D79" i="7"/>
  <c r="G79" i="7" s="1"/>
  <c r="F72" i="7"/>
  <c r="D61" i="7"/>
  <c r="D69" i="7"/>
  <c r="G69" i="7" s="1"/>
  <c r="D68" i="7"/>
  <c r="E68" i="7"/>
  <c r="D67" i="7"/>
  <c r="E67" i="7"/>
  <c r="D66" i="7"/>
  <c r="G66" i="7" s="1"/>
  <c r="D65" i="7"/>
  <c r="G65" i="7" s="1"/>
  <c r="D64" i="7"/>
  <c r="E64" i="7"/>
  <c r="F51" i="7"/>
  <c r="F55" i="7" s="1"/>
  <c r="D51" i="7"/>
  <c r="D50" i="7"/>
  <c r="G50" i="7" s="1"/>
  <c r="D49" i="7"/>
  <c r="G49" i="7" s="1"/>
  <c r="D48" i="7"/>
  <c r="E48" i="7"/>
  <c r="D47" i="7"/>
  <c r="G47" i="7" s="1"/>
  <c r="F11" i="7"/>
  <c r="F14" i="7" s="1"/>
  <c r="E31" i="7"/>
  <c r="F31" i="7"/>
  <c r="F37" i="7" s="1"/>
  <c r="E32" i="7"/>
  <c r="D33" i="7"/>
  <c r="D37" i="7" s="1"/>
  <c r="F23" i="7"/>
  <c r="E14" i="7"/>
  <c r="D9" i="7"/>
  <c r="F38" i="7"/>
  <c r="D38" i="7"/>
  <c r="D80" i="7"/>
  <c r="E80" i="7"/>
  <c r="D126" i="6"/>
  <c r="D53" i="6"/>
  <c r="F92" i="6"/>
  <c r="F96" i="6" s="1"/>
  <c r="D63" i="6"/>
  <c r="E76" i="6"/>
  <c r="F125" i="6"/>
  <c r="D96" i="6"/>
  <c r="E92" i="6"/>
  <c r="G92" i="6" s="1"/>
  <c r="G96" i="6" s="1"/>
  <c r="D78" i="6"/>
  <c r="G78" i="6" s="1"/>
  <c r="D115" i="6"/>
  <c r="G115" i="6" s="1"/>
  <c r="F12" i="6"/>
  <c r="G12" i="6" s="1"/>
  <c r="D114" i="6"/>
  <c r="E114" i="6"/>
  <c r="F118" i="6"/>
  <c r="F127" i="6" s="1"/>
  <c r="D112" i="6"/>
  <c r="E112" i="6"/>
  <c r="B130" i="6"/>
  <c r="G23" i="6"/>
  <c r="F49" i="6"/>
  <c r="G63" i="6"/>
  <c r="D52" i="6"/>
  <c r="G52" i="6" s="1"/>
  <c r="D81" i="6"/>
  <c r="G81" i="6" s="1"/>
  <c r="F83" i="6"/>
  <c r="G83" i="6" s="1"/>
  <c r="E77" i="6"/>
  <c r="E84" i="6" s="1"/>
  <c r="D61" i="6"/>
  <c r="F77" i="6"/>
  <c r="D9" i="6"/>
  <c r="G9" i="6" s="1"/>
  <c r="F55" i="6"/>
  <c r="D76" i="6"/>
  <c r="E51" i="6"/>
  <c r="E56" i="6" s="1"/>
  <c r="D64" i="6"/>
  <c r="G64" i="6" s="1"/>
  <c r="D111" i="6"/>
  <c r="G111" i="6" s="1"/>
  <c r="F10" i="6"/>
  <c r="F15" i="6" s="1"/>
  <c r="D102" i="6"/>
  <c r="E102" i="6"/>
  <c r="G101" i="6"/>
  <c r="E93" i="6"/>
  <c r="G93" i="6" s="1"/>
  <c r="E15" i="6"/>
  <c r="D13" i="6"/>
  <c r="G13" i="6" s="1"/>
  <c r="F22" i="6"/>
  <c r="F27" i="6" s="1"/>
  <c r="D22" i="6"/>
  <c r="D10" i="6"/>
  <c r="E22" i="6"/>
  <c r="E27" i="6" s="1"/>
  <c r="E118" i="6"/>
  <c r="E127" i="6" s="1"/>
  <c r="F40" i="6"/>
  <c r="E40" i="6"/>
  <c r="G38" i="6"/>
  <c r="G53" i="6"/>
  <c r="D49" i="6"/>
  <c r="D55" i="6"/>
  <c r="D113" i="6"/>
  <c r="D39" i="6"/>
  <c r="E39" i="6"/>
  <c r="D50" i="6"/>
  <c r="G50" i="6" s="1"/>
  <c r="D62" i="6"/>
  <c r="D125" i="6"/>
  <c r="G125" i="6" s="1"/>
  <c r="D132" i="5"/>
  <c r="D135" i="5" s="1"/>
  <c r="E132" i="5"/>
  <c r="E135" i="5" s="1"/>
  <c r="D131" i="5"/>
  <c r="G131" i="5" s="1"/>
  <c r="D130" i="5"/>
  <c r="G130" i="5" s="1"/>
  <c r="D116" i="5"/>
  <c r="E116" i="5"/>
  <c r="D121" i="5"/>
  <c r="E121" i="5"/>
  <c r="D118" i="5"/>
  <c r="G118" i="5" s="1"/>
  <c r="D115" i="5"/>
  <c r="E115" i="5"/>
  <c r="E22" i="5"/>
  <c r="D82" i="5"/>
  <c r="G82" i="5" s="1"/>
  <c r="F22" i="5"/>
  <c r="F30" i="5" s="1"/>
  <c r="D70" i="5"/>
  <c r="G70" i="5" s="1"/>
  <c r="D98" i="5"/>
  <c r="D79" i="5"/>
  <c r="G79" i="5" s="1"/>
  <c r="D94" i="5"/>
  <c r="G94" i="5" s="1"/>
  <c r="D80" i="5"/>
  <c r="E80" i="5"/>
  <c r="E85" i="5" s="1"/>
  <c r="F85" i="5"/>
  <c r="G83" i="5"/>
  <c r="E98" i="5"/>
  <c r="D68" i="5"/>
  <c r="G68" i="5" s="1"/>
  <c r="D67" i="5"/>
  <c r="E67" i="5"/>
  <c r="E74" i="5" s="1"/>
  <c r="F57" i="5"/>
  <c r="F60" i="5" s="1"/>
  <c r="E57" i="5"/>
  <c r="D58" i="5"/>
  <c r="G58" i="5" s="1"/>
  <c r="D56" i="5"/>
  <c r="E56" i="5"/>
  <c r="D55" i="5"/>
  <c r="G55" i="5" s="1"/>
  <c r="D144" i="5"/>
  <c r="E11" i="5"/>
  <c r="G11" i="5" s="1"/>
  <c r="D114" i="5"/>
  <c r="G98" i="5"/>
  <c r="D29" i="5"/>
  <c r="F97" i="5"/>
  <c r="E144" i="5"/>
  <c r="E29" i="5"/>
  <c r="F105" i="5"/>
  <c r="D26" i="5"/>
  <c r="G26" i="5" s="1"/>
  <c r="F122" i="5"/>
  <c r="E9" i="5"/>
  <c r="F143" i="5"/>
  <c r="G142" i="5"/>
  <c r="G143" i="5" s="1"/>
  <c r="F9" i="5"/>
  <c r="F14" i="5" s="1"/>
  <c r="D40" i="5"/>
  <c r="F40" i="5"/>
  <c r="F48" i="5"/>
  <c r="D48" i="5"/>
  <c r="D25" i="5"/>
  <c r="E48" i="5"/>
  <c r="E25" i="5"/>
  <c r="E39" i="5"/>
  <c r="D93" i="5"/>
  <c r="E93" i="5"/>
  <c r="D114" i="4"/>
  <c r="E114" i="4"/>
  <c r="F119" i="4"/>
  <c r="D113" i="4"/>
  <c r="E113" i="4"/>
  <c r="D115" i="4"/>
  <c r="G115" i="4" s="1"/>
  <c r="D143" i="4"/>
  <c r="E143" i="4"/>
  <c r="F94" i="4"/>
  <c r="D48" i="4"/>
  <c r="F48" i="4"/>
  <c r="F50" i="4" s="1"/>
  <c r="D44" i="4"/>
  <c r="E44" i="4"/>
  <c r="D47" i="4"/>
  <c r="G47" i="4" s="1"/>
  <c r="D46" i="4"/>
  <c r="G46" i="4" s="1"/>
  <c r="D43" i="4"/>
  <c r="E43" i="4"/>
  <c r="D42" i="4"/>
  <c r="G42" i="4" s="1"/>
  <c r="D41" i="4"/>
  <c r="E11" i="4"/>
  <c r="G11" i="4" s="1"/>
  <c r="E24" i="4"/>
  <c r="D34" i="4"/>
  <c r="E34" i="4"/>
  <c r="D80" i="4"/>
  <c r="D83" i="4" s="1"/>
  <c r="F80" i="4"/>
  <c r="F83" i="4" s="1"/>
  <c r="D32" i="4"/>
  <c r="F105" i="4"/>
  <c r="E75" i="4"/>
  <c r="D68" i="4"/>
  <c r="G68" i="4" s="1"/>
  <c r="D103" i="4"/>
  <c r="G103" i="4" s="1"/>
  <c r="G105" i="4" s="1"/>
  <c r="F14" i="4"/>
  <c r="D9" i="4"/>
  <c r="E9" i="4"/>
  <c r="G81" i="4"/>
  <c r="E83" i="4"/>
  <c r="F24" i="4"/>
  <c r="E105" i="4"/>
  <c r="F25" i="4"/>
  <c r="E25" i="4"/>
  <c r="F142" i="4"/>
  <c r="D24" i="4"/>
  <c r="F84" i="4"/>
  <c r="E84" i="4"/>
  <c r="D84" i="4"/>
  <c r="F128" i="4"/>
  <c r="E128" i="4"/>
  <c r="E133" i="4" s="1"/>
  <c r="D128" i="4"/>
  <c r="G23" i="4"/>
  <c r="F69" i="4"/>
  <c r="G69" i="4" s="1"/>
  <c r="F126" i="4"/>
  <c r="D67" i="4"/>
  <c r="D127" i="4"/>
  <c r="G127" i="4" s="1"/>
  <c r="D126" i="4"/>
  <c r="F83" i="3"/>
  <c r="F87" i="3" s="1"/>
  <c r="E96" i="3"/>
  <c r="G53" i="3"/>
  <c r="D106" i="3"/>
  <c r="F106" i="3"/>
  <c r="F109" i="3" s="1"/>
  <c r="F52" i="3"/>
  <c r="G52" i="3" s="1"/>
  <c r="D133" i="3"/>
  <c r="E133" i="3"/>
  <c r="D9" i="3"/>
  <c r="F26" i="3"/>
  <c r="D117" i="3"/>
  <c r="G117" i="3" s="1"/>
  <c r="G36" i="3"/>
  <c r="G50" i="3"/>
  <c r="D66" i="3"/>
  <c r="G66" i="3" s="1"/>
  <c r="D105" i="3"/>
  <c r="D109" i="3" s="1"/>
  <c r="E105" i="3"/>
  <c r="E109" i="3" s="1"/>
  <c r="E64" i="3"/>
  <c r="F65" i="3"/>
  <c r="F72" i="3" s="1"/>
  <c r="D83" i="3"/>
  <c r="D65" i="3"/>
  <c r="F54" i="3"/>
  <c r="D49" i="3"/>
  <c r="E49" i="3"/>
  <c r="E58" i="3" s="1"/>
  <c r="D51" i="3"/>
  <c r="G51" i="3" s="1"/>
  <c r="D54" i="3"/>
  <c r="D41" i="3"/>
  <c r="E41" i="3"/>
  <c r="D26" i="3"/>
  <c r="E27" i="3"/>
  <c r="D11" i="3"/>
  <c r="G131" i="3"/>
  <c r="G132" i="3" s="1"/>
  <c r="F132" i="3"/>
  <c r="G22" i="3"/>
  <c r="D134" i="3"/>
  <c r="D96" i="3"/>
  <c r="G96" i="3" s="1"/>
  <c r="E134" i="3"/>
  <c r="D34" i="3"/>
  <c r="G34" i="3" s="1"/>
  <c r="D118" i="3"/>
  <c r="E118" i="3"/>
  <c r="E123" i="3" s="1"/>
  <c r="D33" i="3"/>
  <c r="D119" i="3"/>
  <c r="E33" i="3"/>
  <c r="E42" i="3" s="1"/>
  <c r="D35" i="3"/>
  <c r="G35" i="3" s="1"/>
  <c r="E119" i="3"/>
  <c r="D109" i="2"/>
  <c r="D112" i="2" s="1"/>
  <c r="E109" i="2"/>
  <c r="E112" i="2" s="1"/>
  <c r="F35" i="2"/>
  <c r="G35" i="2" s="1"/>
  <c r="D98" i="2"/>
  <c r="G103" i="2"/>
  <c r="E97" i="2"/>
  <c r="E104" i="2" s="1"/>
  <c r="F15" i="2"/>
  <c r="D52" i="2"/>
  <c r="G52" i="2" s="1"/>
  <c r="D88" i="2"/>
  <c r="G88" i="2" s="1"/>
  <c r="E67" i="2"/>
  <c r="D67" i="2"/>
  <c r="D55" i="2"/>
  <c r="F55" i="2"/>
  <c r="F54" i="2"/>
  <c r="G54" i="2" s="1"/>
  <c r="D48" i="2"/>
  <c r="E48" i="2"/>
  <c r="E58" i="2" s="1"/>
  <c r="D50" i="2"/>
  <c r="G50" i="2" s="1"/>
  <c r="D49" i="2"/>
  <c r="G49" i="2" s="1"/>
  <c r="D38" i="2"/>
  <c r="G38" i="2" s="1"/>
  <c r="F28" i="2"/>
  <c r="D27" i="2"/>
  <c r="E27" i="2"/>
  <c r="D28" i="2"/>
  <c r="D26" i="2"/>
  <c r="G26" i="2" s="1"/>
  <c r="G98" i="2"/>
  <c r="D78" i="2"/>
  <c r="D81" i="2" s="1"/>
  <c r="E78" i="2"/>
  <c r="E81" i="2" s="1"/>
  <c r="D11" i="2"/>
  <c r="G11" i="2" s="1"/>
  <c r="D82" i="2"/>
  <c r="E82" i="2"/>
  <c r="F25" i="2"/>
  <c r="D9" i="2"/>
  <c r="E9" i="2"/>
  <c r="E68" i="2"/>
  <c r="D68" i="2"/>
  <c r="F68" i="2"/>
  <c r="G79" i="2"/>
  <c r="E118" i="2"/>
  <c r="D118" i="2"/>
  <c r="F118" i="2"/>
  <c r="F37" i="2"/>
  <c r="G37" i="2" s="1"/>
  <c r="E40" i="2"/>
  <c r="E42" i="2" s="1"/>
  <c r="F66" i="2"/>
  <c r="D97" i="2"/>
  <c r="D104" i="2" s="1"/>
  <c r="D65" i="2"/>
  <c r="G112" i="1"/>
  <c r="C112" i="1"/>
  <c r="C111" i="1"/>
  <c r="E111" i="1" s="1"/>
  <c r="G111" i="1" s="1"/>
  <c r="C110" i="1"/>
  <c r="F110" i="1" s="1"/>
  <c r="F113" i="1" s="1"/>
  <c r="G113" i="7" l="1"/>
  <c r="G55" i="6"/>
  <c r="G77" i="6"/>
  <c r="G40" i="6"/>
  <c r="E14" i="5"/>
  <c r="G144" i="5"/>
  <c r="D72" i="3"/>
  <c r="F73" i="2"/>
  <c r="G118" i="6"/>
  <c r="G61" i="6"/>
  <c r="D70" i="6"/>
  <c r="D30" i="5"/>
  <c r="D74" i="5"/>
  <c r="G106" i="3"/>
  <c r="D58" i="3"/>
  <c r="F27" i="3"/>
  <c r="D123" i="3"/>
  <c r="F58" i="3"/>
  <c r="F97" i="3" s="1"/>
  <c r="G100" i="2"/>
  <c r="F42" i="2"/>
  <c r="E73" i="2"/>
  <c r="E89" i="2" s="1"/>
  <c r="D60" i="5"/>
  <c r="G57" i="5"/>
  <c r="E60" i="5"/>
  <c r="G22" i="5"/>
  <c r="E30" i="5"/>
  <c r="G67" i="2"/>
  <c r="D73" i="2"/>
  <c r="F35" i="4"/>
  <c r="G121" i="1"/>
  <c r="G64" i="3"/>
  <c r="E72" i="3"/>
  <c r="E97" i="3" s="1"/>
  <c r="D42" i="3"/>
  <c r="G9" i="3"/>
  <c r="D14" i="3"/>
  <c r="D27" i="3" s="1"/>
  <c r="F135" i="3"/>
  <c r="G83" i="3"/>
  <c r="G87" i="3" s="1"/>
  <c r="D87" i="3"/>
  <c r="G68" i="2"/>
  <c r="G31" i="7"/>
  <c r="G114" i="7"/>
  <c r="G51" i="7"/>
  <c r="G11" i="7"/>
  <c r="G48" i="7"/>
  <c r="G99" i="7"/>
  <c r="G103" i="7" s="1"/>
  <c r="E72" i="7"/>
  <c r="F81" i="7"/>
  <c r="E37" i="7"/>
  <c r="E39" i="7" s="1"/>
  <c r="G33" i="7"/>
  <c r="G90" i="7"/>
  <c r="F39" i="7"/>
  <c r="G32" i="7"/>
  <c r="E55" i="7"/>
  <c r="G61" i="7"/>
  <c r="D72" i="7"/>
  <c r="F93" i="7"/>
  <c r="F115" i="7" s="1"/>
  <c r="G68" i="7"/>
  <c r="G67" i="7"/>
  <c r="G64" i="7"/>
  <c r="G55" i="7"/>
  <c r="G38" i="7"/>
  <c r="E93" i="7"/>
  <c r="E115" i="7" s="1"/>
  <c r="G23" i="7"/>
  <c r="D55" i="7"/>
  <c r="D103" i="7"/>
  <c r="G9" i="7"/>
  <c r="D14" i="7"/>
  <c r="D39" i="7" s="1"/>
  <c r="D93" i="7"/>
  <c r="G80" i="7"/>
  <c r="G126" i="6"/>
  <c r="F56" i="6"/>
  <c r="G51" i="6"/>
  <c r="G114" i="6"/>
  <c r="G112" i="6"/>
  <c r="F41" i="6"/>
  <c r="E41" i="6"/>
  <c r="G10" i="6"/>
  <c r="G15" i="6" s="1"/>
  <c r="F84" i="6"/>
  <c r="G39" i="6"/>
  <c r="E96" i="6"/>
  <c r="E103" i="6" s="1"/>
  <c r="G76" i="6"/>
  <c r="G84" i="6" s="1"/>
  <c r="D84" i="6"/>
  <c r="G102" i="6"/>
  <c r="D56" i="6"/>
  <c r="G49" i="6"/>
  <c r="G22" i="6"/>
  <c r="D27" i="6"/>
  <c r="G62" i="6"/>
  <c r="G113" i="6"/>
  <c r="D118" i="6"/>
  <c r="D127" i="6" s="1"/>
  <c r="D15" i="6"/>
  <c r="F106" i="5"/>
  <c r="G67" i="5"/>
  <c r="G132" i="5"/>
  <c r="G116" i="5"/>
  <c r="G115" i="5"/>
  <c r="E122" i="5"/>
  <c r="E145" i="5" s="1"/>
  <c r="G121" i="5"/>
  <c r="D122" i="5"/>
  <c r="D145" i="5" s="1"/>
  <c r="G56" i="5"/>
  <c r="G80" i="5"/>
  <c r="G85" i="5" s="1"/>
  <c r="D85" i="5"/>
  <c r="G105" i="5"/>
  <c r="G114" i="5"/>
  <c r="F135" i="5"/>
  <c r="F145" i="5" s="1"/>
  <c r="G29" i="5"/>
  <c r="G40" i="5"/>
  <c r="E97" i="5"/>
  <c r="G25" i="5"/>
  <c r="G9" i="5"/>
  <c r="G14" i="5" s="1"/>
  <c r="D39" i="5"/>
  <c r="F39" i="5"/>
  <c r="F49" i="5" s="1"/>
  <c r="G48" i="5"/>
  <c r="G93" i="5"/>
  <c r="D97" i="5"/>
  <c r="E119" i="4"/>
  <c r="E144" i="4" s="1"/>
  <c r="G114" i="4"/>
  <c r="D119" i="4"/>
  <c r="G113" i="4"/>
  <c r="G143" i="4"/>
  <c r="G41" i="4"/>
  <c r="D50" i="4"/>
  <c r="E50" i="4"/>
  <c r="E95" i="4" s="1"/>
  <c r="G48" i="4"/>
  <c r="G44" i="4"/>
  <c r="G43" i="4"/>
  <c r="E14" i="4"/>
  <c r="E35" i="4" s="1"/>
  <c r="G80" i="4"/>
  <c r="G34" i="4"/>
  <c r="G84" i="4"/>
  <c r="G32" i="4"/>
  <c r="D105" i="4"/>
  <c r="G25" i="4"/>
  <c r="D14" i="4"/>
  <c r="D35" i="4" s="1"/>
  <c r="G9" i="4"/>
  <c r="G14" i="4" s="1"/>
  <c r="D75" i="4"/>
  <c r="G67" i="4"/>
  <c r="D133" i="4"/>
  <c r="G126" i="4"/>
  <c r="D142" i="4"/>
  <c r="G142" i="4"/>
  <c r="G128" i="4"/>
  <c r="F75" i="4"/>
  <c r="F95" i="4" s="1"/>
  <c r="G24" i="4"/>
  <c r="F133" i="4"/>
  <c r="F144" i="4" s="1"/>
  <c r="G134" i="3"/>
  <c r="G65" i="3"/>
  <c r="G133" i="3"/>
  <c r="E135" i="3"/>
  <c r="G23" i="3"/>
  <c r="G54" i="3"/>
  <c r="G105" i="3"/>
  <c r="D135" i="3"/>
  <c r="G49" i="3"/>
  <c r="G41" i="3"/>
  <c r="G26" i="3"/>
  <c r="G11" i="3"/>
  <c r="G119" i="3"/>
  <c r="G33" i="3"/>
  <c r="G118" i="3"/>
  <c r="G123" i="3" s="1"/>
  <c r="G109" i="2"/>
  <c r="G112" i="2" s="1"/>
  <c r="G27" i="2"/>
  <c r="F119" i="2"/>
  <c r="E119" i="2"/>
  <c r="G66" i="2"/>
  <c r="G82" i="2"/>
  <c r="G55" i="2"/>
  <c r="F58" i="2"/>
  <c r="G48" i="2"/>
  <c r="D58" i="2"/>
  <c r="G28" i="2"/>
  <c r="E15" i="2"/>
  <c r="E29" i="2" s="1"/>
  <c r="G78" i="2"/>
  <c r="G81" i="2" s="1"/>
  <c r="D15" i="2"/>
  <c r="D42" i="2"/>
  <c r="G9" i="2"/>
  <c r="G15" i="2" s="1"/>
  <c r="F29" i="2"/>
  <c r="G65" i="2"/>
  <c r="G40" i="2"/>
  <c r="G97" i="2"/>
  <c r="D119" i="2"/>
  <c r="G118" i="2"/>
  <c r="D110" i="1"/>
  <c r="D113" i="1" s="1"/>
  <c r="E110" i="1"/>
  <c r="E113" i="1" s="1"/>
  <c r="C86" i="1"/>
  <c r="F86" i="1" s="1"/>
  <c r="C85" i="1"/>
  <c r="C63" i="1"/>
  <c r="F63" i="1" s="1"/>
  <c r="G62" i="1"/>
  <c r="C62" i="1"/>
  <c r="C61" i="1"/>
  <c r="F61" i="1" s="1"/>
  <c r="C60" i="1"/>
  <c r="F60" i="1" s="1"/>
  <c r="C59" i="1"/>
  <c r="F59" i="1" s="1"/>
  <c r="C58" i="1"/>
  <c r="E58" i="1" s="1"/>
  <c r="C57" i="1"/>
  <c r="F57" i="1" s="1"/>
  <c r="C36" i="1"/>
  <c r="F36" i="1" s="1"/>
  <c r="C35" i="1"/>
  <c r="F35" i="1" s="1"/>
  <c r="C34" i="1"/>
  <c r="F34" i="1" s="1"/>
  <c r="G34" i="1" s="1"/>
  <c r="C33" i="1"/>
  <c r="E26" i="1"/>
  <c r="D26" i="1"/>
  <c r="C25" i="1"/>
  <c r="F25" i="1" s="1"/>
  <c r="F26" i="1" s="1"/>
  <c r="G24" i="1"/>
  <c r="C24" i="1"/>
  <c r="G17" i="1"/>
  <c r="C17" i="1"/>
  <c r="C18" i="1"/>
  <c r="E18" i="1" s="1"/>
  <c r="G18" i="1" s="1"/>
  <c r="C15" i="1"/>
  <c r="F15" i="1" s="1"/>
  <c r="C9" i="1"/>
  <c r="E9" i="1" s="1"/>
  <c r="C122" i="1"/>
  <c r="E120" i="1"/>
  <c r="C119" i="1"/>
  <c r="F119" i="1" s="1"/>
  <c r="G119" i="1" s="1"/>
  <c r="G118" i="1"/>
  <c r="C118" i="1"/>
  <c r="G102" i="1"/>
  <c r="C102" i="1"/>
  <c r="C101" i="1"/>
  <c r="E101" i="1" s="1"/>
  <c r="G101" i="1" s="1"/>
  <c r="C100" i="1"/>
  <c r="C98" i="1"/>
  <c r="E98" i="1" s="1"/>
  <c r="C97" i="1"/>
  <c r="E97" i="1" s="1"/>
  <c r="C96" i="1"/>
  <c r="E96" i="1" s="1"/>
  <c r="G77" i="1"/>
  <c r="C77" i="1"/>
  <c r="G76" i="1"/>
  <c r="C76" i="1"/>
  <c r="C75" i="1"/>
  <c r="F75" i="1" s="1"/>
  <c r="C74" i="1"/>
  <c r="D74" i="1" s="1"/>
  <c r="C73" i="1"/>
  <c r="E73" i="1" s="1"/>
  <c r="G73" i="1" s="1"/>
  <c r="C72" i="1"/>
  <c r="G51" i="1"/>
  <c r="C51" i="1"/>
  <c r="C50" i="1"/>
  <c r="F50" i="1" s="1"/>
  <c r="G49" i="1"/>
  <c r="C49" i="1"/>
  <c r="G48" i="1"/>
  <c r="C48" i="1"/>
  <c r="C47" i="1"/>
  <c r="E47" i="1" s="1"/>
  <c r="C46" i="1"/>
  <c r="E46" i="1" s="1"/>
  <c r="G46" i="1" s="1"/>
  <c r="C45" i="1"/>
  <c r="E45" i="1" s="1"/>
  <c r="C44" i="1"/>
  <c r="E44" i="1" s="1"/>
  <c r="G37" i="7" l="1"/>
  <c r="D81" i="7"/>
  <c r="E106" i="5"/>
  <c r="G60" i="5"/>
  <c r="G104" i="2"/>
  <c r="G119" i="2" s="1"/>
  <c r="F89" i="2"/>
  <c r="F33" i="1"/>
  <c r="B37" i="1"/>
  <c r="F122" i="1"/>
  <c r="B123" i="1"/>
  <c r="F85" i="1"/>
  <c r="G85" i="1" s="1"/>
  <c r="B87" i="1"/>
  <c r="D95" i="4"/>
  <c r="D115" i="7"/>
  <c r="D121" i="7" s="1"/>
  <c r="G127" i="6"/>
  <c r="G70" i="6"/>
  <c r="G42" i="3"/>
  <c r="G14" i="3"/>
  <c r="G27" i="3" s="1"/>
  <c r="D106" i="5"/>
  <c r="G83" i="4"/>
  <c r="G75" i="4"/>
  <c r="G29" i="2"/>
  <c r="G73" i="2"/>
  <c r="G58" i="2"/>
  <c r="F121" i="7"/>
  <c r="G72" i="7"/>
  <c r="G81" i="7" s="1"/>
  <c r="E130" i="6"/>
  <c r="G30" i="5"/>
  <c r="F138" i="3"/>
  <c r="E138" i="3"/>
  <c r="F122" i="2"/>
  <c r="E122" i="2"/>
  <c r="F148" i="5"/>
  <c r="G119" i="4"/>
  <c r="G58" i="3"/>
  <c r="G97" i="3" s="1"/>
  <c r="G72" i="3"/>
  <c r="D144" i="4"/>
  <c r="D89" i="2"/>
  <c r="E81" i="7"/>
  <c r="E121" i="7" s="1"/>
  <c r="G93" i="7"/>
  <c r="G115" i="7" s="1"/>
  <c r="G14" i="7"/>
  <c r="G39" i="7" s="1"/>
  <c r="D103" i="6"/>
  <c r="F103" i="6"/>
  <c r="F130" i="6" s="1"/>
  <c r="G27" i="6"/>
  <c r="D41" i="6"/>
  <c r="G56" i="6"/>
  <c r="G103" i="6" s="1"/>
  <c r="G135" i="5"/>
  <c r="G122" i="5"/>
  <c r="D49" i="5"/>
  <c r="D148" i="5" s="1"/>
  <c r="E49" i="5"/>
  <c r="E148" i="5" s="1"/>
  <c r="G97" i="5"/>
  <c r="G39" i="5"/>
  <c r="G74" i="5"/>
  <c r="G35" i="4"/>
  <c r="G50" i="4"/>
  <c r="F148" i="4"/>
  <c r="E148" i="4"/>
  <c r="G133" i="4"/>
  <c r="D97" i="3"/>
  <c r="D138" i="3" s="1"/>
  <c r="G109" i="3"/>
  <c r="G135" i="3" s="1"/>
  <c r="G42" i="2"/>
  <c r="D29" i="2"/>
  <c r="G110" i="1"/>
  <c r="G113" i="1" s="1"/>
  <c r="F64" i="1"/>
  <c r="D86" i="1"/>
  <c r="E86" i="1"/>
  <c r="D61" i="1"/>
  <c r="G61" i="1" s="1"/>
  <c r="D60" i="1"/>
  <c r="G60" i="1" s="1"/>
  <c r="D63" i="1"/>
  <c r="E63" i="1"/>
  <c r="D59" i="1"/>
  <c r="E59" i="1"/>
  <c r="D58" i="1"/>
  <c r="G58" i="1" s="1"/>
  <c r="D57" i="1"/>
  <c r="E57" i="1"/>
  <c r="D36" i="1"/>
  <c r="E36" i="1"/>
  <c r="D35" i="1"/>
  <c r="E35" i="1"/>
  <c r="E33" i="1"/>
  <c r="D33" i="1"/>
  <c r="E75" i="1"/>
  <c r="F97" i="1"/>
  <c r="G25" i="1"/>
  <c r="G26" i="1" s="1"/>
  <c r="F45" i="1"/>
  <c r="D96" i="1"/>
  <c r="G96" i="1" s="1"/>
  <c r="D97" i="1"/>
  <c r="F74" i="1"/>
  <c r="G74" i="1" s="1"/>
  <c r="E122" i="1"/>
  <c r="D15" i="1"/>
  <c r="E15" i="1"/>
  <c r="E19" i="1" s="1"/>
  <c r="D75" i="1"/>
  <c r="F9" i="1"/>
  <c r="F10" i="1" s="1"/>
  <c r="D9" i="1"/>
  <c r="F19" i="1"/>
  <c r="F100" i="1"/>
  <c r="E100" i="1"/>
  <c r="E103" i="1" s="1"/>
  <c r="D100" i="1"/>
  <c r="E10" i="1"/>
  <c r="F120" i="1"/>
  <c r="E52" i="1"/>
  <c r="D44" i="1"/>
  <c r="D45" i="1"/>
  <c r="D47" i="1"/>
  <c r="G47" i="1" s="1"/>
  <c r="D50" i="1"/>
  <c r="G50" i="1" s="1"/>
  <c r="F44" i="1"/>
  <c r="E72" i="1"/>
  <c r="D72" i="1"/>
  <c r="D98" i="1"/>
  <c r="D122" i="1"/>
  <c r="F37" i="1" l="1"/>
  <c r="B126" i="1"/>
  <c r="E37" i="1"/>
  <c r="G95" i="4"/>
  <c r="D122" i="2"/>
  <c r="G122" i="1"/>
  <c r="G106" i="5"/>
  <c r="G89" i="2"/>
  <c r="G122" i="2" s="1"/>
  <c r="G121" i="7"/>
  <c r="G123" i="7" s="1"/>
  <c r="D130" i="6"/>
  <c r="G145" i="5"/>
  <c r="G144" i="4"/>
  <c r="G138" i="3"/>
  <c r="G143" i="3" s="1"/>
  <c r="E123" i="1"/>
  <c r="G41" i="6"/>
  <c r="G49" i="5"/>
  <c r="D148" i="4"/>
  <c r="F52" i="1"/>
  <c r="F103" i="1"/>
  <c r="F123" i="1" s="1"/>
  <c r="G97" i="1"/>
  <c r="E78" i="1"/>
  <c r="E64" i="1"/>
  <c r="G33" i="1"/>
  <c r="D64" i="1"/>
  <c r="G75" i="1"/>
  <c r="G86" i="1"/>
  <c r="G63" i="1"/>
  <c r="G57" i="1"/>
  <c r="G59" i="1"/>
  <c r="G35" i="1"/>
  <c r="G36" i="1"/>
  <c r="F78" i="1"/>
  <c r="G45" i="1"/>
  <c r="G15" i="1"/>
  <c r="G9" i="1"/>
  <c r="D19" i="1"/>
  <c r="G98" i="1"/>
  <c r="D103" i="1"/>
  <c r="G72" i="1"/>
  <c r="D78" i="1"/>
  <c r="D120" i="1"/>
  <c r="D10" i="1"/>
  <c r="D37" i="1" s="1"/>
  <c r="G44" i="1"/>
  <c r="D52" i="1"/>
  <c r="G100" i="1"/>
  <c r="D123" i="1" l="1"/>
  <c r="G125" i="7"/>
  <c r="G124" i="7"/>
  <c r="G148" i="5"/>
  <c r="G151" i="5" s="1"/>
  <c r="G141" i="3"/>
  <c r="G142" i="3"/>
  <c r="G126" i="2"/>
  <c r="G125" i="2"/>
  <c r="G127" i="2"/>
  <c r="G130" i="6"/>
  <c r="G134" i="6" s="1"/>
  <c r="G148" i="4"/>
  <c r="G152" i="4" s="1"/>
  <c r="F87" i="1"/>
  <c r="F126" i="1" s="1"/>
  <c r="E87" i="1"/>
  <c r="E126" i="1" s="1"/>
  <c r="G103" i="1"/>
  <c r="G52" i="1"/>
  <c r="D87" i="1"/>
  <c r="G78" i="1"/>
  <c r="G64" i="1"/>
  <c r="G19" i="1"/>
  <c r="G10" i="1"/>
  <c r="G37" i="1" s="1"/>
  <c r="G120" i="1"/>
  <c r="G87" i="1" l="1"/>
  <c r="G123" i="1"/>
  <c r="G133" i="6"/>
  <c r="G132" i="6"/>
  <c r="G153" i="5"/>
  <c r="G152" i="5"/>
  <c r="G151" i="4"/>
  <c r="G153" i="4"/>
  <c r="D126" i="1"/>
  <c r="G126" i="1" l="1"/>
  <c r="G131" i="1" s="1"/>
  <c r="G130" i="1" l="1"/>
  <c r="G129" i="1"/>
</calcChain>
</file>

<file path=xl/sharedStrings.xml><?xml version="1.0" encoding="utf-8"?>
<sst xmlns="http://schemas.openxmlformats.org/spreadsheetml/2006/main" count="1262" uniqueCount="142">
  <si>
    <t>ორშაბათი</t>
  </si>
  <si>
    <t>საუზმე</t>
  </si>
  <si>
    <t>პროდუქტის დასახელება</t>
  </si>
  <si>
    <t>რაოდენობა, გ</t>
  </si>
  <si>
    <t>ცილები, გ</t>
  </si>
  <si>
    <t>ცხიმები, გ</t>
  </si>
  <si>
    <t>ნახშირწყლები</t>
  </si>
  <si>
    <t>ენერგეტიკული ღირებულება</t>
  </si>
  <si>
    <t>ბრუტო</t>
  </si>
  <si>
    <t>ნეტო</t>
  </si>
  <si>
    <t>კკალ</t>
  </si>
  <si>
    <t>მაკარონი</t>
  </si>
  <si>
    <t>ყველი</t>
  </si>
  <si>
    <t>პური თეთრი</t>
  </si>
  <si>
    <t>ზეთი</t>
  </si>
  <si>
    <t>მარილი</t>
  </si>
  <si>
    <t>გამოსავალი</t>
  </si>
  <si>
    <t>ხორბლის ფქვილი I ხარისხის</t>
  </si>
  <si>
    <t>საფანელი</t>
  </si>
  <si>
    <t>ცხოველური ცხიმები (კარაქი ან სპრედი)</t>
  </si>
  <si>
    <t>კვერცხი</t>
  </si>
  <si>
    <t>ლობიო</t>
  </si>
  <si>
    <t>შაქარი</t>
  </si>
  <si>
    <t>ბარდა</t>
  </si>
  <si>
    <t>არაჟანი 10 % ცხიმიანობის</t>
  </si>
  <si>
    <t>წიწიბურა</t>
  </si>
  <si>
    <t>შვრიის ფანტელი "ჰერკულესი"</t>
  </si>
  <si>
    <t>ბრინჯი</t>
  </si>
  <si>
    <t>კარაქი</t>
  </si>
  <si>
    <t>ჩაი</t>
  </si>
  <si>
    <t>საქონლის ხორცი (I კატეგორიის)</t>
  </si>
  <si>
    <t>ნატურალური რძე</t>
  </si>
  <si>
    <t>ქათმის ხორცი</t>
  </si>
  <si>
    <t>ქათმის ფილე</t>
  </si>
  <si>
    <t>სულ საუზმეზე</t>
  </si>
  <si>
    <t>სოსისი</t>
  </si>
  <si>
    <t>თევზის ფილე</t>
  </si>
  <si>
    <t>სადილი</t>
  </si>
  <si>
    <t>მაწვნის შეჭამანდი</t>
  </si>
  <si>
    <t>რძე შესქელებული</t>
  </si>
  <si>
    <t>მაწონი</t>
  </si>
  <si>
    <t>ხაჭო  20 % ცხიმიანობის</t>
  </si>
  <si>
    <t>მწვანილი</t>
  </si>
  <si>
    <t>ხახვი</t>
  </si>
  <si>
    <t>ნიორი</t>
  </si>
  <si>
    <t>სტაფილო</t>
  </si>
  <si>
    <t>კარტოფილი</t>
  </si>
  <si>
    <t>კომბოსტო</t>
  </si>
  <si>
    <t>კომბოსტო ყვავილოვანი</t>
  </si>
  <si>
    <t>ჭარხალი</t>
  </si>
  <si>
    <t>ფლავი ხორციანი</t>
  </si>
  <si>
    <t>ბულგარული წიწაკა</t>
  </si>
  <si>
    <t>პომიდორი</t>
  </si>
  <si>
    <t>კიტრი</t>
  </si>
  <si>
    <t>სანელებლები</t>
  </si>
  <si>
    <t>სალათის ფურცლები</t>
  </si>
  <si>
    <t>მჟაუნა</t>
  </si>
  <si>
    <t>ისპანახი</t>
  </si>
  <si>
    <t>მწვანი ხახვი</t>
  </si>
  <si>
    <t>ხილი</t>
  </si>
  <si>
    <t>ხილფაფა</t>
  </si>
  <si>
    <t>სულ სადილზე</t>
  </si>
  <si>
    <t>მჟავე კიტრი</t>
  </si>
  <si>
    <t>ვახშამი</t>
  </si>
  <si>
    <t>ხილის წვენი</t>
  </si>
  <si>
    <t>ტომატ–პასტა</t>
  </si>
  <si>
    <t>საფუარი</t>
  </si>
  <si>
    <t>სულ ვახშამზე</t>
  </si>
  <si>
    <t>სულ დღეში</t>
  </si>
  <si>
    <t>მოხარშული სოსისი წიწიბურას გარნირით</t>
  </si>
  <si>
    <t>წიწიბურას გარნირი</t>
  </si>
  <si>
    <t>წყალი</t>
  </si>
  <si>
    <t>სალათი "ზაფხული"</t>
  </si>
  <si>
    <t>ჩაშუშული კარტოფილის გარნირი</t>
  </si>
  <si>
    <t>სამშაბათი</t>
  </si>
  <si>
    <t>ბოსტნეულის სალათი</t>
  </si>
  <si>
    <t>ბეფსტროგანოვი   შემწვარი  კარტოფილის  გარნირით</t>
  </si>
  <si>
    <t>შემწვარი  კარტოფილის   გარნირი</t>
  </si>
  <si>
    <t>საუზმე (%)</t>
  </si>
  <si>
    <t>სადილი (%)</t>
  </si>
  <si>
    <t>ვახშამი (%)</t>
  </si>
  <si>
    <t xml:space="preserve">ჩაი  </t>
  </si>
  <si>
    <t>ბორში  ვეგეტარიანული</t>
  </si>
  <si>
    <t>თევზის  კატლეტი  მაკარონის  გარნირით</t>
  </si>
  <si>
    <t>მაკარონის  გარნირი</t>
  </si>
  <si>
    <t>ოთხშაბათი</t>
  </si>
  <si>
    <t>წვნიანი ბოსტნეულით</t>
  </si>
  <si>
    <t>ბოსტნეულის ნახარში</t>
  </si>
  <si>
    <t>მოხარშული  კარტოფილი (გარნირი)</t>
  </si>
  <si>
    <t xml:space="preserve"> ხილი</t>
  </si>
  <si>
    <t xml:space="preserve"> ბოსტნეულის გარნირი</t>
  </si>
  <si>
    <t xml:space="preserve">ჩაი </t>
  </si>
  <si>
    <t>ბრინჯის ფაფა  შესქელებული რძით</t>
  </si>
  <si>
    <t>ბოსტნეულის  ხაბახუბა  ,,ვინეგრეტი"</t>
  </si>
  <si>
    <t>ხორცი ჩაშუშული   ხახვით  (გულიაში)</t>
  </si>
  <si>
    <t xml:space="preserve"> </t>
  </si>
  <si>
    <t>შემწვარი ქათმის ფილე</t>
  </si>
  <si>
    <t>ხუთშაბათი</t>
  </si>
  <si>
    <t>კვერცხი  მოხარშული</t>
  </si>
  <si>
    <t>ბოსტნეულის  სალათი</t>
  </si>
  <si>
    <t>ხორცის რაგუ "ოჯახური"</t>
  </si>
  <si>
    <t xml:space="preserve">შემწვარი კარტოფილი </t>
  </si>
  <si>
    <t>ოლადები</t>
  </si>
  <si>
    <t>მწვანე წვნიანი "შჩი"</t>
  </si>
  <si>
    <t>კომპოტი ხილის</t>
  </si>
  <si>
    <t>თევზი  მოხარშული</t>
  </si>
  <si>
    <t>პარასკევი</t>
  </si>
  <si>
    <t>ხაჭოს მობრაწულა</t>
  </si>
  <si>
    <t>ვანილი</t>
  </si>
  <si>
    <t>კარტოფილის პიურე</t>
  </si>
  <si>
    <t>ხილის  წვენი</t>
  </si>
  <si>
    <t>წვნიანი "ხარჩო"</t>
  </si>
  <si>
    <t>კიტრის და პომიდვრის სალათა</t>
  </si>
  <si>
    <t>ქათმის ჩახოხბილი</t>
  </si>
  <si>
    <t>ტეფტელები ყვავილოვანი კომბოსტოს გარნირით</t>
  </si>
  <si>
    <t>შაბათი</t>
  </si>
  <si>
    <t>ბლინები მოხარშული ხორცით</t>
  </si>
  <si>
    <t>წვნიანი ბოსტნეულის ნაკრების ხორცის ბულიონზე</t>
  </si>
  <si>
    <t>ხორცის ბულიონი</t>
  </si>
  <si>
    <t>ქათმის ფილეს კატლეტი "ნაგეთსები" კარტოფილის პიურეს გარნირით</t>
  </si>
  <si>
    <t>კარტოფილის "ზრაზები" მოხარშული ხორცით ფარშირებული</t>
  </si>
  <si>
    <t>კვირა</t>
  </si>
  <si>
    <t>კვერცხის  ომლეტი  სტაფილოთი</t>
  </si>
  <si>
    <t>ხაჭაპური</t>
  </si>
  <si>
    <t>წვნიანი ხორცის გუფთებით</t>
  </si>
  <si>
    <t>საზაფხულო ტოლმა არაჟნით</t>
  </si>
  <si>
    <t>შემწვარი თევზი</t>
  </si>
  <si>
    <t>სტაფილო-კარტოფილის პიურეს გარნირი</t>
  </si>
  <si>
    <t>ჩაი ხილის</t>
  </si>
  <si>
    <t>შვრიის ფანტელის "ჰერკულესის" ფაფა  შესქელებული რძით</t>
  </si>
  <si>
    <t>ხორცის  რულეტი  მოხარშული   კვერცხით და ტარხუნით</t>
  </si>
  <si>
    <t>ტარხუნა</t>
  </si>
  <si>
    <t>შვრიის ფანტელის "ჰერკულესის" ფაფა შესქელებული რძით</t>
  </si>
  <si>
    <t>წიწიბურას ფაფა  შესქელებული რძით</t>
  </si>
  <si>
    <t>სალათა "ზაფხული"</t>
  </si>
  <si>
    <t>დანართი №6.1</t>
  </si>
  <si>
    <t>ყვავილოვანი კომბოსტოს გარნირი</t>
  </si>
  <si>
    <t xml:space="preserve">სავალდებულო  სამხედრო  მოსამსახურეთა ერთკვირიანი მენიუ
გაზაფხული - ზაფხული 
I კვირა </t>
  </si>
  <si>
    <t xml:space="preserve">სავალდებულო  სამხედრო  მოსამსახურეთა ერთკვირიანი მენიუ 
გაზაფხული - ზაფხული 
I კვირა </t>
  </si>
  <si>
    <t xml:space="preserve">სავალდებულო  სამხედრო  მოსამსახურეთა ერთკვირიანი მენიუ
გაზაფხული - ზაფხული 
I კვირა 
</t>
  </si>
  <si>
    <t>სავალდებულო  სამხედრო  მოსამსახურეთა ერთკვირიანი მენიუ
გაზაფხული - ზაფხული 
I კვირა</t>
  </si>
  <si>
    <t xml:space="preserve">სავალდებულო  სამხედრო  მოსამსახურეთა ერთკვირიანი მენიუ
გაზაფხული - ზაფხული 
I კვირა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</si>
</sst>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</font>
    <font>
      <sz val="10"/>
      <name val="Sylfaen"/>
      <family val="1"/>
    </font>
    <font>
      <b/>
      <sz val="12"/>
      <name val="Sylfaen"/>
      <family val="1"/>
    </font>
    <font>
      <sz val="12"/>
      <name val="Sylfaen"/>
      <family val="1"/>
    </font>
    <font>
      <b/>
      <sz val="10"/>
      <name val="Sylfaen"/>
      <family val="1"/>
    </font>
    <font>
      <b/>
      <sz val="11"/>
      <name val="Sylfaen"/>
      <family val="1"/>
    </font>
    <font>
      <sz val="11"/>
      <name val="Sylfaen"/>
      <family val="1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0" fontId="8" fillId="0" borderId="0"/>
  </cellStyleXfs>
  <cellXfs count="143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3" fillId="0" borderId="2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6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2" applyFont="1"/>
    <xf numFmtId="0" fontId="3" fillId="0" borderId="2" xfId="2" applyFont="1" applyFill="1" applyBorder="1" applyAlignment="1">
      <alignment vertical="center"/>
    </xf>
    <xf numFmtId="2" fontId="1" fillId="0" borderId="0" xfId="2" applyNumberFormat="1" applyFont="1"/>
    <xf numFmtId="0" fontId="5" fillId="0" borderId="0" xfId="2" applyFont="1" applyAlignment="1">
      <alignment horizontal="center" vertical="center"/>
    </xf>
    <xf numFmtId="0" fontId="6" fillId="0" borderId="0" xfId="2" applyFont="1"/>
    <xf numFmtId="0" fontId="4" fillId="0" borderId="0" xfId="2" applyFont="1"/>
    <xf numFmtId="0" fontId="2" fillId="0" borderId="2" xfId="2" applyFont="1" applyFill="1" applyBorder="1" applyAlignment="1">
      <alignment vertical="center"/>
    </xf>
    <xf numFmtId="0" fontId="4" fillId="0" borderId="0" xfId="2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5" xfId="2" applyFont="1" applyFill="1" applyBorder="1" applyAlignment="1">
      <alignment vertical="center"/>
    </xf>
    <xf numFmtId="0" fontId="1" fillId="2" borderId="0" xfId="0" applyFont="1" applyFill="1"/>
    <xf numFmtId="0" fontId="3" fillId="2" borderId="0" xfId="0" applyFont="1" applyFill="1"/>
    <xf numFmtId="0" fontId="3" fillId="0" borderId="0" xfId="2" applyFont="1" applyFill="1"/>
    <xf numFmtId="2" fontId="3" fillId="0" borderId="2" xfId="2" applyNumberFormat="1" applyFont="1" applyFill="1" applyBorder="1" applyAlignment="1">
      <alignment horizontal="center" vertical="center"/>
    </xf>
    <xf numFmtId="2" fontId="2" fillId="0" borderId="2" xfId="2" applyNumberFormat="1" applyFont="1" applyFill="1" applyBorder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1" fontId="2" fillId="0" borderId="0" xfId="2" applyNumberFormat="1" applyFont="1" applyFill="1" applyBorder="1" applyAlignment="1">
      <alignment horizontal="center" vertical="center" wrapText="1"/>
    </xf>
    <xf numFmtId="2" fontId="2" fillId="0" borderId="0" xfId="2" applyNumberFormat="1" applyFont="1" applyFill="1" applyBorder="1" applyAlignment="1">
      <alignment horizontal="center" vertical="center"/>
    </xf>
    <xf numFmtId="2" fontId="2" fillId="0" borderId="0" xfId="2" applyNumberFormat="1" applyFont="1" applyFill="1" applyAlignment="1">
      <alignment horizontal="center" vertical="center"/>
    </xf>
    <xf numFmtId="2" fontId="3" fillId="0" borderId="0" xfId="2" applyNumberFormat="1" applyFont="1" applyFill="1"/>
    <xf numFmtId="9" fontId="2" fillId="0" borderId="0" xfId="1" applyFont="1" applyFill="1"/>
    <xf numFmtId="0" fontId="2" fillId="0" borderId="2" xfId="2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2" fontId="2" fillId="0" borderId="6" xfId="2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3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justify" vertical="top" wrapText="1"/>
    </xf>
    <xf numFmtId="2" fontId="2" fillId="0" borderId="6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justify" vertical="top" wrapText="1"/>
    </xf>
    <xf numFmtId="2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justify" vertical="top" wrapText="1"/>
    </xf>
    <xf numFmtId="0" fontId="2" fillId="0" borderId="0" xfId="0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Fill="1"/>
    <xf numFmtId="2" fontId="3" fillId="0" borderId="0" xfId="0" applyNumberFormat="1" applyFont="1" applyFill="1"/>
    <xf numFmtId="0" fontId="2" fillId="0" borderId="0" xfId="2" applyFont="1" applyFill="1"/>
    <xf numFmtId="0" fontId="2" fillId="0" borderId="0" xfId="2" applyFont="1" applyFill="1" applyAlignment="1">
      <alignment horizontal="center" vertical="center" wrapText="1"/>
    </xf>
    <xf numFmtId="0" fontId="3" fillId="0" borderId="2" xfId="2" applyFont="1" applyFill="1" applyBorder="1" applyAlignment="1">
      <alignment horizontal="justify" vertical="top" wrapText="1"/>
    </xf>
    <xf numFmtId="0" fontId="2" fillId="0" borderId="2" xfId="2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2" fillId="0" borderId="2" xfId="2" applyFont="1" applyFill="1" applyBorder="1" applyAlignment="1">
      <alignment horizontal="justify" vertical="top" wrapText="1"/>
    </xf>
    <xf numFmtId="0" fontId="2" fillId="0" borderId="1" xfId="2" applyFont="1" applyFill="1" applyBorder="1" applyAlignment="1">
      <alignment horizontal="left" vertical="center"/>
    </xf>
    <xf numFmtId="0" fontId="2" fillId="0" borderId="0" xfId="2" applyFont="1" applyFill="1" applyBorder="1" applyAlignment="1">
      <alignment horizontal="left" vertical="center"/>
    </xf>
    <xf numFmtId="0" fontId="2" fillId="0" borderId="0" xfId="2" applyFont="1" applyFill="1" applyBorder="1" applyAlignment="1">
      <alignment horizontal="justify" vertical="top" wrapText="1"/>
    </xf>
    <xf numFmtId="0" fontId="2" fillId="0" borderId="0" xfId="2" applyFont="1" applyFill="1" applyAlignment="1">
      <alignment horizontal="center" vertical="center"/>
    </xf>
    <xf numFmtId="2" fontId="3" fillId="0" borderId="5" xfId="2" applyNumberFormat="1" applyFont="1" applyFill="1" applyBorder="1" applyAlignment="1">
      <alignment horizontal="center" vertical="center"/>
    </xf>
    <xf numFmtId="2" fontId="3" fillId="0" borderId="6" xfId="2" applyNumberFormat="1" applyFont="1" applyFill="1" applyBorder="1" applyAlignment="1">
      <alignment horizontal="center" vertical="center"/>
    </xf>
    <xf numFmtId="2" fontId="3" fillId="0" borderId="0" xfId="2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justify" vertical="top" wrapText="1"/>
    </xf>
    <xf numFmtId="0" fontId="2" fillId="0" borderId="1" xfId="0" applyFont="1" applyFill="1" applyBorder="1" applyAlignment="1">
      <alignment horizontal="left" vertical="center"/>
    </xf>
    <xf numFmtId="2" fontId="2" fillId="0" borderId="0" xfId="0" applyNumberFormat="1" applyFont="1" applyFill="1" applyAlignment="1">
      <alignment horizontal="center" vertical="center"/>
    </xf>
    <xf numFmtId="2" fontId="2" fillId="0" borderId="0" xfId="2" applyNumberFormat="1" applyFont="1" applyFill="1"/>
    <xf numFmtId="0" fontId="2" fillId="0" borderId="0" xfId="2" applyFont="1" applyFill="1" applyAlignment="1">
      <alignment wrapText="1"/>
    </xf>
    <xf numFmtId="0" fontId="3" fillId="0" borderId="2" xfId="0" applyFont="1" applyFill="1" applyBorder="1" applyAlignment="1">
      <alignment vertical="center" wrapText="1"/>
    </xf>
    <xf numFmtId="0" fontId="3" fillId="0" borderId="2" xfId="2" applyFont="1" applyFill="1" applyBorder="1" applyAlignment="1">
      <alignment vertical="center" wrapText="1"/>
    </xf>
    <xf numFmtId="0" fontId="2" fillId="0" borderId="2" xfId="2" applyFont="1" applyFill="1" applyBorder="1" applyAlignment="1">
      <alignment vertical="center" wrapText="1"/>
    </xf>
    <xf numFmtId="0" fontId="3" fillId="0" borderId="0" xfId="2" applyFont="1" applyFill="1" applyAlignment="1">
      <alignment wrapText="1"/>
    </xf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2" applyFont="1" applyFill="1" applyAlignment="1"/>
    <xf numFmtId="0" fontId="3" fillId="0" borderId="2" xfId="2" applyFont="1" applyFill="1" applyBorder="1" applyAlignment="1">
      <alignment horizontal="justify" vertical="top"/>
    </xf>
    <xf numFmtId="0" fontId="2" fillId="0" borderId="2" xfId="2" applyFont="1" applyFill="1" applyBorder="1" applyAlignment="1">
      <alignment horizontal="justify" vertical="top"/>
    </xf>
    <xf numFmtId="0" fontId="3" fillId="0" borderId="0" xfId="2" applyFont="1" applyFill="1" applyAlignment="1"/>
    <xf numFmtId="0" fontId="3" fillId="0" borderId="2" xfId="0" applyFont="1" applyFill="1" applyBorder="1" applyAlignment="1">
      <alignment horizontal="justify" vertical="top"/>
    </xf>
    <xf numFmtId="0" fontId="2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vertical="center" wrapText="1"/>
    </xf>
    <xf numFmtId="0" fontId="3" fillId="0" borderId="5" xfId="2" applyFont="1" applyFill="1" applyBorder="1" applyAlignment="1">
      <alignment vertical="center" wrapText="1"/>
    </xf>
    <xf numFmtId="0" fontId="2" fillId="0" borderId="1" xfId="2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horizontal="center" vertical="center"/>
    </xf>
    <xf numFmtId="2" fontId="2" fillId="0" borderId="6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1" fontId="2" fillId="0" borderId="5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2" fontId="2" fillId="0" borderId="0" xfId="0" applyNumberFormat="1" applyFont="1" applyFill="1" applyAlignment="1">
      <alignment horizontal="center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0" borderId="6" xfId="0" applyNumberFormat="1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horizontal="center" vertical="center" wrapText="1"/>
    </xf>
    <xf numFmtId="0" fontId="2" fillId="0" borderId="0" xfId="2" applyFont="1" applyFill="1" applyAlignment="1">
      <alignment horizontal="center" vertical="center" wrapText="1"/>
    </xf>
    <xf numFmtId="0" fontId="2" fillId="0" borderId="0" xfId="2" applyFont="1" applyFill="1" applyAlignment="1">
      <alignment horizontal="center"/>
    </xf>
    <xf numFmtId="0" fontId="2" fillId="0" borderId="1" xfId="2" applyFont="1" applyFill="1" applyBorder="1" applyAlignment="1">
      <alignment horizontal="left" vertical="center"/>
    </xf>
    <xf numFmtId="0" fontId="2" fillId="0" borderId="2" xfId="2" applyFont="1" applyFill="1" applyBorder="1" applyAlignment="1">
      <alignment horizontal="center" vertical="center" wrapText="1"/>
    </xf>
    <xf numFmtId="2" fontId="2" fillId="0" borderId="2" xfId="2" applyNumberFormat="1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 wrapText="1"/>
    </xf>
    <xf numFmtId="2" fontId="2" fillId="0" borderId="5" xfId="2" applyNumberFormat="1" applyFont="1" applyFill="1" applyBorder="1" applyAlignment="1">
      <alignment horizontal="center" vertical="center" wrapText="1"/>
    </xf>
    <xf numFmtId="2" fontId="2" fillId="0" borderId="6" xfId="2" applyNumberFormat="1" applyFont="1" applyFill="1" applyBorder="1" applyAlignment="1">
      <alignment horizontal="center" vertical="center" wrapText="1"/>
    </xf>
    <xf numFmtId="1" fontId="2" fillId="0" borderId="5" xfId="2" applyNumberFormat="1" applyFont="1" applyFill="1" applyBorder="1" applyAlignment="1">
      <alignment horizontal="center" vertical="center" wrapText="1"/>
    </xf>
    <xf numFmtId="1" fontId="2" fillId="0" borderId="6" xfId="2" applyNumberFormat="1" applyFont="1" applyFill="1" applyBorder="1" applyAlignment="1">
      <alignment horizontal="center" vertical="center" wrapText="1"/>
    </xf>
    <xf numFmtId="2" fontId="2" fillId="0" borderId="0" xfId="2" applyNumberFormat="1" applyFont="1" applyFill="1" applyAlignment="1">
      <alignment horizontal="center" vertical="center"/>
    </xf>
    <xf numFmtId="0" fontId="2" fillId="0" borderId="2" xfId="2" applyFont="1" applyFill="1" applyBorder="1" applyAlignment="1">
      <alignment horizontal="center"/>
    </xf>
    <xf numFmtId="2" fontId="2" fillId="0" borderId="5" xfId="2" applyNumberFormat="1" applyFont="1" applyFill="1" applyBorder="1" applyAlignment="1">
      <alignment horizontal="center" vertical="center"/>
    </xf>
    <xf numFmtId="2" fontId="2" fillId="0" borderId="6" xfId="2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" fontId="2" fillId="0" borderId="0" xfId="2" applyNumberFormat="1" applyFont="1" applyFill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2" fillId="0" borderId="0" xfId="2" applyFont="1" applyFill="1" applyBorder="1" applyAlignment="1">
      <alignment horizontal="left" vertical="center"/>
    </xf>
    <xf numFmtId="0" fontId="2" fillId="0" borderId="1" xfId="2" applyFont="1" applyFill="1" applyBorder="1" applyAlignment="1">
      <alignment horizontal="left" vertical="center" wrapText="1"/>
    </xf>
    <xf numFmtId="2" fontId="2" fillId="0" borderId="6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3" fillId="0" borderId="0" xfId="2" applyFont="1" applyFill="1" applyAlignment="1">
      <alignment horizontal="right" wrapText="1"/>
    </xf>
    <xf numFmtId="0" fontId="2" fillId="0" borderId="0" xfId="2" applyFont="1" applyFill="1" applyAlignment="1">
      <alignment horizontal="right" wrapText="1"/>
    </xf>
    <xf numFmtId="0" fontId="3" fillId="0" borderId="0" xfId="2" applyFont="1" applyFill="1" applyAlignment="1">
      <alignment horizontal="right"/>
    </xf>
    <xf numFmtId="0" fontId="2" fillId="0" borderId="0" xfId="2" applyFont="1" applyFill="1" applyAlignment="1">
      <alignment horizontal="right"/>
    </xf>
    <xf numFmtId="0" fontId="2" fillId="0" borderId="0" xfId="0" applyFont="1" applyFill="1" applyAlignment="1">
      <alignment horizontal="right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5"/>
  <sheetViews>
    <sheetView view="pageBreakPreview" zoomScale="112" zoomScaleNormal="100" zoomScaleSheetLayoutView="112" workbookViewId="0">
      <selection sqref="A1:G1"/>
    </sheetView>
  </sheetViews>
  <sheetFormatPr defaultRowHeight="18" x14ac:dyDescent="0.35"/>
  <cols>
    <col min="1" max="1" width="34.85546875" style="74" bestFit="1" customWidth="1"/>
    <col min="2" max="2" width="12" style="39" customWidth="1"/>
    <col min="3" max="3" width="12.5703125" style="39" customWidth="1"/>
    <col min="4" max="4" width="12.28515625" style="39" customWidth="1"/>
    <col min="5" max="5" width="11.28515625" style="39" customWidth="1"/>
    <col min="6" max="6" width="16.140625" style="39" customWidth="1"/>
    <col min="7" max="7" width="20.42578125" style="39" customWidth="1"/>
    <col min="8" max="16384" width="9.140625" style="1"/>
  </cols>
  <sheetData>
    <row r="1" spans="1:8" ht="18" customHeight="1" x14ac:dyDescent="0.35">
      <c r="A1" s="137" t="s">
        <v>135</v>
      </c>
      <c r="B1" s="136"/>
      <c r="C1" s="136"/>
      <c r="D1" s="136"/>
      <c r="E1" s="136"/>
      <c r="F1" s="136"/>
      <c r="G1" s="136"/>
    </row>
    <row r="2" spans="1:8" ht="18" customHeight="1" x14ac:dyDescent="0.35">
      <c r="A2" s="92" t="s">
        <v>137</v>
      </c>
      <c r="B2" s="92"/>
      <c r="C2" s="92"/>
      <c r="D2" s="92"/>
      <c r="E2" s="92"/>
      <c r="F2" s="92"/>
      <c r="G2" s="92"/>
      <c r="H2" s="2"/>
    </row>
    <row r="3" spans="1:8" ht="40.5" customHeight="1" x14ac:dyDescent="0.35">
      <c r="A3" s="92"/>
      <c r="B3" s="92"/>
      <c r="C3" s="92"/>
      <c r="D3" s="92"/>
      <c r="E3" s="92"/>
      <c r="F3" s="92"/>
      <c r="G3" s="92"/>
      <c r="H3" s="2"/>
    </row>
    <row r="4" spans="1:8" x14ac:dyDescent="0.35">
      <c r="A4" s="101" t="s">
        <v>0</v>
      </c>
      <c r="B4" s="101"/>
      <c r="C4" s="101"/>
      <c r="D4" s="101"/>
      <c r="E4" s="101"/>
      <c r="F4" s="101"/>
      <c r="G4" s="101"/>
      <c r="H4" s="2"/>
    </row>
    <row r="5" spans="1:8" x14ac:dyDescent="0.35">
      <c r="A5" s="75" t="s">
        <v>1</v>
      </c>
      <c r="H5" s="2"/>
    </row>
    <row r="6" spans="1:8" ht="24.75" customHeight="1" x14ac:dyDescent="0.35">
      <c r="A6" s="97" t="s">
        <v>69</v>
      </c>
      <c r="B6" s="97"/>
      <c r="C6" s="97"/>
      <c r="D6" s="97"/>
      <c r="E6" s="97"/>
      <c r="F6" s="97"/>
      <c r="G6" s="97"/>
      <c r="H6" s="2"/>
    </row>
    <row r="7" spans="1:8" ht="37.5" customHeight="1" x14ac:dyDescent="0.35">
      <c r="A7" s="98" t="s">
        <v>2</v>
      </c>
      <c r="B7" s="98" t="s">
        <v>3</v>
      </c>
      <c r="C7" s="98"/>
      <c r="D7" s="99" t="s">
        <v>4</v>
      </c>
      <c r="E7" s="99" t="s">
        <v>5</v>
      </c>
      <c r="F7" s="98" t="s">
        <v>6</v>
      </c>
      <c r="G7" s="35" t="s">
        <v>7</v>
      </c>
      <c r="H7" s="2"/>
    </row>
    <row r="8" spans="1:8" x14ac:dyDescent="0.35">
      <c r="A8" s="98"/>
      <c r="B8" s="35" t="s">
        <v>8</v>
      </c>
      <c r="C8" s="35" t="s">
        <v>9</v>
      </c>
      <c r="D8" s="100"/>
      <c r="E8" s="100"/>
      <c r="F8" s="98"/>
      <c r="G8" s="35" t="s">
        <v>10</v>
      </c>
      <c r="H8" s="2"/>
    </row>
    <row r="9" spans="1:8" x14ac:dyDescent="0.35">
      <c r="A9" s="70" t="s">
        <v>35</v>
      </c>
      <c r="B9" s="27">
        <v>150</v>
      </c>
      <c r="C9" s="27">
        <f>100%*B9</f>
        <v>150</v>
      </c>
      <c r="D9" s="27">
        <f>11.8%*C9</f>
        <v>17.700000000000003</v>
      </c>
      <c r="E9" s="27">
        <f>20.1%*C9</f>
        <v>30.150000000000002</v>
      </c>
      <c r="F9" s="27">
        <f>0.87%*C9</f>
        <v>1.3049999999999999</v>
      </c>
      <c r="G9" s="27">
        <f>4*(D9+F9)+9*E9</f>
        <v>347.37</v>
      </c>
      <c r="H9" s="2"/>
    </row>
    <row r="10" spans="1:8" x14ac:dyDescent="0.35">
      <c r="A10" s="37" t="s">
        <v>16</v>
      </c>
      <c r="B10" s="93">
        <v>150</v>
      </c>
      <c r="C10" s="94"/>
      <c r="D10" s="28">
        <f>SUM(D9:D9)</f>
        <v>17.700000000000003</v>
      </c>
      <c r="E10" s="28">
        <f>SUM(E9:E9)</f>
        <v>30.150000000000002</v>
      </c>
      <c r="F10" s="28">
        <f>SUM(F9:F9)</f>
        <v>1.3049999999999999</v>
      </c>
      <c r="G10" s="28">
        <f>SUM(G9:G9)</f>
        <v>347.37</v>
      </c>
      <c r="H10" s="2"/>
    </row>
    <row r="11" spans="1:8" x14ac:dyDescent="0.35">
      <c r="H11" s="2"/>
    </row>
    <row r="12" spans="1:8" x14ac:dyDescent="0.35">
      <c r="A12" s="97" t="s">
        <v>70</v>
      </c>
      <c r="B12" s="97"/>
      <c r="C12" s="97"/>
      <c r="D12" s="97"/>
      <c r="E12" s="97"/>
      <c r="F12" s="97"/>
      <c r="G12" s="97"/>
      <c r="H12" s="2"/>
    </row>
    <row r="13" spans="1:8" ht="36" x14ac:dyDescent="0.35">
      <c r="A13" s="98" t="s">
        <v>2</v>
      </c>
      <c r="B13" s="98" t="s">
        <v>3</v>
      </c>
      <c r="C13" s="98"/>
      <c r="D13" s="99" t="s">
        <v>4</v>
      </c>
      <c r="E13" s="99" t="s">
        <v>5</v>
      </c>
      <c r="F13" s="98" t="s">
        <v>6</v>
      </c>
      <c r="G13" s="35" t="s">
        <v>7</v>
      </c>
      <c r="H13" s="2"/>
    </row>
    <row r="14" spans="1:8" x14ac:dyDescent="0.35">
      <c r="A14" s="98"/>
      <c r="B14" s="35" t="s">
        <v>8</v>
      </c>
      <c r="C14" s="35" t="s">
        <v>9</v>
      </c>
      <c r="D14" s="100"/>
      <c r="E14" s="100"/>
      <c r="F14" s="98"/>
      <c r="G14" s="35" t="s">
        <v>10</v>
      </c>
      <c r="H14" s="2"/>
    </row>
    <row r="15" spans="1:8" s="5" customFormat="1" x14ac:dyDescent="0.2">
      <c r="A15" s="70" t="s">
        <v>25</v>
      </c>
      <c r="B15" s="27">
        <v>70</v>
      </c>
      <c r="C15" s="27">
        <f t="shared" ref="C15" si="0">B15*100%</f>
        <v>70</v>
      </c>
      <c r="D15" s="27">
        <f>10.78%*C15</f>
        <v>7.5459999999999994</v>
      </c>
      <c r="E15" s="27">
        <f>3.14%*C15</f>
        <v>2.1980000000000004</v>
      </c>
      <c r="F15" s="27">
        <f>55.9%*C15</f>
        <v>39.129999999999995</v>
      </c>
      <c r="G15" s="27">
        <f t="shared" ref="G15" si="1">4*(D15+F15)+9*E15</f>
        <v>206.48599999999999</v>
      </c>
      <c r="H15" s="6"/>
    </row>
    <row r="16" spans="1:8" x14ac:dyDescent="0.35">
      <c r="A16" s="70" t="s">
        <v>71</v>
      </c>
      <c r="B16" s="27">
        <v>180</v>
      </c>
      <c r="C16" s="27">
        <v>200</v>
      </c>
      <c r="D16" s="27"/>
      <c r="E16" s="27"/>
      <c r="F16" s="27"/>
      <c r="G16" s="27"/>
      <c r="H16" s="2"/>
    </row>
    <row r="17" spans="1:8" ht="25.5" customHeight="1" x14ac:dyDescent="0.35">
      <c r="A17" s="41" t="s">
        <v>15</v>
      </c>
      <c r="B17" s="27">
        <v>2</v>
      </c>
      <c r="C17" s="27">
        <f>100%*B17</f>
        <v>2</v>
      </c>
      <c r="D17" s="27"/>
      <c r="E17" s="27"/>
      <c r="F17" s="27"/>
      <c r="G17" s="27">
        <f t="shared" ref="G17" si="2">4*(D17+F17)+9*E17</f>
        <v>0</v>
      </c>
      <c r="H17" s="2"/>
    </row>
    <row r="18" spans="1:8" ht="36" x14ac:dyDescent="0.35">
      <c r="A18" s="70" t="s">
        <v>19</v>
      </c>
      <c r="B18" s="27">
        <v>3</v>
      </c>
      <c r="C18" s="27">
        <f>100%*B18</f>
        <v>3</v>
      </c>
      <c r="D18" s="27"/>
      <c r="E18" s="27">
        <f>72.57%*C18</f>
        <v>2.1770999999999998</v>
      </c>
      <c r="F18" s="27"/>
      <c r="G18" s="27">
        <f>4*(D18+F18)+9*E18</f>
        <v>19.593899999999998</v>
      </c>
      <c r="H18" s="2"/>
    </row>
    <row r="19" spans="1:8" x14ac:dyDescent="0.35">
      <c r="A19" s="37" t="s">
        <v>16</v>
      </c>
      <c r="B19" s="102">
        <v>200</v>
      </c>
      <c r="C19" s="103"/>
      <c r="D19" s="28">
        <f>SUM(D15:D18)</f>
        <v>7.5459999999999994</v>
      </c>
      <c r="E19" s="28">
        <f>SUM(E15:E18)</f>
        <v>4.3750999999999998</v>
      </c>
      <c r="F19" s="28">
        <f>SUM(F15:F18)</f>
        <v>39.129999999999995</v>
      </c>
      <c r="G19" s="42">
        <f>SUM(G15:G18)</f>
        <v>226.07989999999998</v>
      </c>
      <c r="H19" s="2"/>
    </row>
    <row r="20" spans="1:8" x14ac:dyDescent="0.35">
      <c r="A20" s="43"/>
      <c r="B20" s="44"/>
      <c r="C20" s="44"/>
      <c r="D20" s="44"/>
      <c r="E20" s="44"/>
      <c r="F20" s="44"/>
      <c r="G20" s="44"/>
      <c r="H20" s="2"/>
    </row>
    <row r="21" spans="1:8" x14ac:dyDescent="0.35">
      <c r="A21" s="97" t="s">
        <v>29</v>
      </c>
      <c r="B21" s="97"/>
      <c r="C21" s="97"/>
      <c r="D21" s="97"/>
      <c r="E21" s="97"/>
      <c r="F21" s="97"/>
      <c r="G21" s="97"/>
      <c r="H21" s="2"/>
    </row>
    <row r="22" spans="1:8" ht="36" x14ac:dyDescent="0.35">
      <c r="A22" s="98" t="s">
        <v>2</v>
      </c>
      <c r="B22" s="98" t="s">
        <v>3</v>
      </c>
      <c r="C22" s="98"/>
      <c r="D22" s="99" t="s">
        <v>4</v>
      </c>
      <c r="E22" s="99" t="s">
        <v>5</v>
      </c>
      <c r="F22" s="98" t="s">
        <v>6</v>
      </c>
      <c r="G22" s="35" t="s">
        <v>7</v>
      </c>
      <c r="H22" s="2"/>
    </row>
    <row r="23" spans="1:8" x14ac:dyDescent="0.35">
      <c r="A23" s="98"/>
      <c r="B23" s="35" t="s">
        <v>8</v>
      </c>
      <c r="C23" s="35" t="s">
        <v>9</v>
      </c>
      <c r="D23" s="100"/>
      <c r="E23" s="100"/>
      <c r="F23" s="98"/>
      <c r="G23" s="35" t="s">
        <v>10</v>
      </c>
      <c r="H23" s="2"/>
    </row>
    <row r="24" spans="1:8" x14ac:dyDescent="0.35">
      <c r="A24" s="41" t="s">
        <v>29</v>
      </c>
      <c r="B24" s="27">
        <v>1</v>
      </c>
      <c r="C24" s="27">
        <f>100%*B24</f>
        <v>1</v>
      </c>
      <c r="D24" s="27"/>
      <c r="E24" s="27"/>
      <c r="F24" s="27"/>
      <c r="G24" s="27">
        <f>4*(D24+F24)+9*E24</f>
        <v>0</v>
      </c>
      <c r="H24" s="2"/>
    </row>
    <row r="25" spans="1:8" x14ac:dyDescent="0.35">
      <c r="A25" s="41" t="s">
        <v>22</v>
      </c>
      <c r="B25" s="27">
        <v>20</v>
      </c>
      <c r="C25" s="27">
        <f>100%*B25</f>
        <v>20</v>
      </c>
      <c r="D25" s="27"/>
      <c r="E25" s="27"/>
      <c r="F25" s="27">
        <f>99%*C25</f>
        <v>19.8</v>
      </c>
      <c r="G25" s="27">
        <f>4*(D25+F25)+9*E25</f>
        <v>79.2</v>
      </c>
      <c r="H25" s="2"/>
    </row>
    <row r="26" spans="1:8" x14ac:dyDescent="0.35">
      <c r="A26" s="37" t="s">
        <v>16</v>
      </c>
      <c r="B26" s="93">
        <v>250</v>
      </c>
      <c r="C26" s="94"/>
      <c r="D26" s="28">
        <f>SUM(D24:D25)</f>
        <v>0</v>
      </c>
      <c r="E26" s="28">
        <f>SUM(E24:E25)</f>
        <v>0</v>
      </c>
      <c r="F26" s="28">
        <f>SUM(F24:F25)</f>
        <v>19.8</v>
      </c>
      <c r="G26" s="28">
        <f>SUM(G24:G25)</f>
        <v>79.2</v>
      </c>
      <c r="H26" s="2"/>
    </row>
    <row r="27" spans="1:8" x14ac:dyDescent="0.35">
      <c r="A27" s="76"/>
      <c r="B27" s="45"/>
      <c r="C27" s="45"/>
      <c r="D27" s="45"/>
      <c r="E27" s="45"/>
      <c r="F27" s="45"/>
      <c r="G27" s="45"/>
      <c r="H27" s="2"/>
    </row>
    <row r="28" spans="1:8" x14ac:dyDescent="0.35">
      <c r="A28" s="76"/>
      <c r="B28" s="45"/>
      <c r="C28" s="45"/>
      <c r="D28" s="45"/>
      <c r="E28" s="45"/>
      <c r="F28" s="45"/>
      <c r="G28" s="45"/>
      <c r="H28" s="2"/>
    </row>
    <row r="29" spans="1:8" x14ac:dyDescent="0.35">
      <c r="H29" s="2"/>
    </row>
    <row r="30" spans="1:8" x14ac:dyDescent="0.35">
      <c r="A30" s="77"/>
      <c r="B30" s="46"/>
      <c r="C30" s="46"/>
      <c r="D30" s="46"/>
      <c r="E30" s="46"/>
      <c r="F30" s="46"/>
      <c r="G30" s="46"/>
      <c r="H30" s="2"/>
    </row>
    <row r="31" spans="1:8" ht="36" x14ac:dyDescent="0.35">
      <c r="A31" s="98" t="s">
        <v>2</v>
      </c>
      <c r="B31" s="98" t="s">
        <v>3</v>
      </c>
      <c r="C31" s="98"/>
      <c r="D31" s="99" t="s">
        <v>4</v>
      </c>
      <c r="E31" s="99" t="s">
        <v>5</v>
      </c>
      <c r="F31" s="98" t="s">
        <v>6</v>
      </c>
      <c r="G31" s="35" t="s">
        <v>7</v>
      </c>
      <c r="H31" s="2"/>
    </row>
    <row r="32" spans="1:8" x14ac:dyDescent="0.35">
      <c r="A32" s="98"/>
      <c r="B32" s="35" t="s">
        <v>8</v>
      </c>
      <c r="C32" s="35" t="s">
        <v>9</v>
      </c>
      <c r="D32" s="100"/>
      <c r="E32" s="100"/>
      <c r="F32" s="98"/>
      <c r="G32" s="35" t="s">
        <v>10</v>
      </c>
      <c r="H32" s="2"/>
    </row>
    <row r="33" spans="1:8" x14ac:dyDescent="0.35">
      <c r="A33" s="47" t="s">
        <v>41</v>
      </c>
      <c r="B33" s="27">
        <v>50</v>
      </c>
      <c r="C33" s="27">
        <f t="shared" ref="C33" si="3">100%*B33</f>
        <v>50</v>
      </c>
      <c r="D33" s="27">
        <f>10%*C33</f>
        <v>5</v>
      </c>
      <c r="E33" s="27">
        <f>20%*C33</f>
        <v>10</v>
      </c>
      <c r="F33" s="27">
        <f>2.8%*C33</f>
        <v>1.4</v>
      </c>
      <c r="G33" s="27">
        <f t="shared" ref="G33" si="4">4*(D33+F33)+9*E33</f>
        <v>115.6</v>
      </c>
      <c r="H33" s="2"/>
    </row>
    <row r="34" spans="1:8" x14ac:dyDescent="0.35">
      <c r="A34" s="47" t="s">
        <v>22</v>
      </c>
      <c r="B34" s="27">
        <v>10</v>
      </c>
      <c r="C34" s="27">
        <f>100%*B34</f>
        <v>10</v>
      </c>
      <c r="D34" s="27"/>
      <c r="E34" s="27"/>
      <c r="F34" s="27">
        <f>99%*C34</f>
        <v>9.9</v>
      </c>
      <c r="G34" s="27">
        <f>4*(D34+F34)+9*E34</f>
        <v>39.6</v>
      </c>
      <c r="H34" s="2"/>
    </row>
    <row r="35" spans="1:8" x14ac:dyDescent="0.35">
      <c r="A35" s="47" t="s">
        <v>24</v>
      </c>
      <c r="B35" s="27">
        <v>20</v>
      </c>
      <c r="C35" s="27">
        <f t="shared" ref="C35" si="5">100%*B35</f>
        <v>20</v>
      </c>
      <c r="D35" s="27">
        <f>2.6%*C35</f>
        <v>0.52</v>
      </c>
      <c r="E35" s="27">
        <f>10%*C35</f>
        <v>2</v>
      </c>
      <c r="F35" s="27">
        <f>3.8%*C35</f>
        <v>0.76</v>
      </c>
      <c r="G35" s="27">
        <f t="shared" ref="G35" si="6">4*(D35+F35)+9*E35</f>
        <v>23.12</v>
      </c>
      <c r="H35" s="2"/>
    </row>
    <row r="36" spans="1:8" ht="34.5" customHeight="1" x14ac:dyDescent="0.35">
      <c r="A36" s="47" t="s">
        <v>13</v>
      </c>
      <c r="B36" s="27">
        <v>300</v>
      </c>
      <c r="C36" s="27">
        <f>B36*100%</f>
        <v>300</v>
      </c>
      <c r="D36" s="27">
        <f>C36*7.9%</f>
        <v>23.7</v>
      </c>
      <c r="E36" s="27">
        <f>C36*1%</f>
        <v>3</v>
      </c>
      <c r="F36" s="27">
        <f>C36*49.6%</f>
        <v>148.80000000000001</v>
      </c>
      <c r="G36" s="27">
        <f>4*(D36+F36)+9*E36</f>
        <v>717</v>
      </c>
      <c r="H36" s="2"/>
    </row>
    <row r="37" spans="1:8" ht="24" customHeight="1" x14ac:dyDescent="0.35">
      <c r="A37" s="37" t="s">
        <v>34</v>
      </c>
      <c r="B37" s="95">
        <f>B10+B19+B26+C33+C34+C35+C36</f>
        <v>980</v>
      </c>
      <c r="C37" s="96"/>
      <c r="D37" s="28">
        <f t="shared" ref="D37:F37" si="7">D10+D19+D26+D33+D34+D35+D36</f>
        <v>54.466000000000001</v>
      </c>
      <c r="E37" s="28">
        <f t="shared" si="7"/>
        <v>49.525100000000002</v>
      </c>
      <c r="F37" s="28">
        <f t="shared" si="7"/>
        <v>221.09500000000003</v>
      </c>
      <c r="G37" s="28">
        <f>G10+G19+G26+G33+G34+G35+G36</f>
        <v>1547.9699000000001</v>
      </c>
      <c r="H37" s="2"/>
    </row>
    <row r="38" spans="1:8" x14ac:dyDescent="0.35">
      <c r="A38" s="48"/>
      <c r="B38" s="48"/>
      <c r="C38" s="48"/>
      <c r="D38" s="49"/>
      <c r="E38" s="49"/>
      <c r="F38" s="49"/>
      <c r="G38" s="49"/>
      <c r="H38" s="2"/>
    </row>
    <row r="39" spans="1:8" ht="26.25" customHeight="1" x14ac:dyDescent="0.35">
      <c r="H39" s="2"/>
    </row>
    <row r="40" spans="1:8" x14ac:dyDescent="0.35">
      <c r="A40" s="75" t="s">
        <v>37</v>
      </c>
      <c r="H40" s="2"/>
    </row>
    <row r="41" spans="1:8" x14ac:dyDescent="0.35">
      <c r="A41" s="97" t="s">
        <v>38</v>
      </c>
      <c r="B41" s="97"/>
      <c r="C41" s="97"/>
      <c r="D41" s="97"/>
      <c r="E41" s="97"/>
      <c r="F41" s="97"/>
      <c r="G41" s="97"/>
      <c r="H41" s="2"/>
    </row>
    <row r="42" spans="1:8" ht="36" x14ac:dyDescent="0.35">
      <c r="A42" s="98" t="s">
        <v>2</v>
      </c>
      <c r="B42" s="98" t="s">
        <v>3</v>
      </c>
      <c r="C42" s="98"/>
      <c r="D42" s="99" t="s">
        <v>4</v>
      </c>
      <c r="E42" s="99" t="s">
        <v>5</v>
      </c>
      <c r="F42" s="98" t="s">
        <v>6</v>
      </c>
      <c r="G42" s="35" t="s">
        <v>7</v>
      </c>
      <c r="H42" s="2"/>
    </row>
    <row r="43" spans="1:8" x14ac:dyDescent="0.35">
      <c r="A43" s="98"/>
      <c r="B43" s="35" t="s">
        <v>8</v>
      </c>
      <c r="C43" s="35" t="s">
        <v>9</v>
      </c>
      <c r="D43" s="100"/>
      <c r="E43" s="100"/>
      <c r="F43" s="98"/>
      <c r="G43" s="35" t="s">
        <v>10</v>
      </c>
      <c r="H43" s="2"/>
    </row>
    <row r="44" spans="1:8" x14ac:dyDescent="0.35">
      <c r="A44" s="41" t="s">
        <v>40</v>
      </c>
      <c r="B44" s="27">
        <v>120</v>
      </c>
      <c r="C44" s="27">
        <f>100%*B44</f>
        <v>120</v>
      </c>
      <c r="D44" s="27">
        <f>2.8%*C44</f>
        <v>3.3599999999999994</v>
      </c>
      <c r="E44" s="27">
        <f>3.2%*C44</f>
        <v>3.84</v>
      </c>
      <c r="F44" s="27">
        <f>4.7%*C44</f>
        <v>5.64</v>
      </c>
      <c r="G44" s="27">
        <f t="shared" ref="G44:G51" si="8">4*(D44+F44)+9*E44</f>
        <v>70.56</v>
      </c>
      <c r="H44" s="2"/>
    </row>
    <row r="45" spans="1:8" ht="18.75" customHeight="1" x14ac:dyDescent="0.35">
      <c r="A45" s="41" t="s">
        <v>27</v>
      </c>
      <c r="B45" s="27">
        <v>15</v>
      </c>
      <c r="C45" s="27">
        <f>B45*100%</f>
        <v>15</v>
      </c>
      <c r="D45" s="27">
        <f>7.4%*C45</f>
        <v>1.1100000000000001</v>
      </c>
      <c r="E45" s="27">
        <f>3.14%*C45</f>
        <v>0.47100000000000009</v>
      </c>
      <c r="F45" s="27">
        <f>62.3%*C45</f>
        <v>9.3450000000000006</v>
      </c>
      <c r="G45" s="27">
        <f t="shared" si="8"/>
        <v>46.058999999999997</v>
      </c>
      <c r="H45" s="2"/>
    </row>
    <row r="46" spans="1:8" ht="36" x14ac:dyDescent="0.35">
      <c r="A46" s="41" t="s">
        <v>19</v>
      </c>
      <c r="B46" s="27">
        <v>5</v>
      </c>
      <c r="C46" s="27">
        <f>100%*B46</f>
        <v>5</v>
      </c>
      <c r="D46" s="27"/>
      <c r="E46" s="27">
        <f>72.57%*C46</f>
        <v>3.6284999999999994</v>
      </c>
      <c r="F46" s="27"/>
      <c r="G46" s="27">
        <f>4*(D46+F46)+9*E46</f>
        <v>32.656499999999994</v>
      </c>
      <c r="H46" s="2"/>
    </row>
    <row r="47" spans="1:8" x14ac:dyDescent="0.35">
      <c r="A47" s="41" t="s">
        <v>20</v>
      </c>
      <c r="B47" s="27">
        <v>0.25</v>
      </c>
      <c r="C47" s="27">
        <f>B47*48</f>
        <v>12</v>
      </c>
      <c r="D47" s="27">
        <f>12.7%*C47</f>
        <v>1.524</v>
      </c>
      <c r="E47" s="27">
        <f>11.5%*C47</f>
        <v>1.3800000000000001</v>
      </c>
      <c r="F47" s="27"/>
      <c r="G47" s="27">
        <f t="shared" si="8"/>
        <v>18.516000000000002</v>
      </c>
      <c r="H47" s="2"/>
    </row>
    <row r="48" spans="1:8" x14ac:dyDescent="0.35">
      <c r="A48" s="41" t="s">
        <v>15</v>
      </c>
      <c r="B48" s="27">
        <v>2</v>
      </c>
      <c r="C48" s="27">
        <f>100%*B48</f>
        <v>2</v>
      </c>
      <c r="D48" s="27"/>
      <c r="E48" s="27"/>
      <c r="F48" s="27"/>
      <c r="G48" s="27">
        <f t="shared" si="8"/>
        <v>0</v>
      </c>
      <c r="H48" s="2"/>
    </row>
    <row r="49" spans="1:8" x14ac:dyDescent="0.35">
      <c r="A49" s="41" t="s">
        <v>42</v>
      </c>
      <c r="B49" s="27">
        <v>7</v>
      </c>
      <c r="C49" s="27">
        <f>85%*B49</f>
        <v>5.95</v>
      </c>
      <c r="D49" s="27"/>
      <c r="E49" s="27"/>
      <c r="F49" s="27"/>
      <c r="G49" s="27">
        <f t="shared" si="8"/>
        <v>0</v>
      </c>
      <c r="H49" s="2"/>
    </row>
    <row r="50" spans="1:8" x14ac:dyDescent="0.35">
      <c r="A50" s="41" t="s">
        <v>43</v>
      </c>
      <c r="B50" s="27">
        <v>12</v>
      </c>
      <c r="C50" s="27">
        <f>90%*B50</f>
        <v>10.8</v>
      </c>
      <c r="D50" s="27">
        <f>1.58%*C50</f>
        <v>0.17064000000000004</v>
      </c>
      <c r="E50" s="27"/>
      <c r="F50" s="27">
        <f>9.5%*C50</f>
        <v>1.026</v>
      </c>
      <c r="G50" s="27">
        <f t="shared" si="8"/>
        <v>4.7865600000000006</v>
      </c>
      <c r="H50" s="2"/>
    </row>
    <row r="51" spans="1:8" x14ac:dyDescent="0.35">
      <c r="A51" s="41" t="s">
        <v>44</v>
      </c>
      <c r="B51" s="27">
        <v>0.5</v>
      </c>
      <c r="C51" s="27">
        <f>92%*B51</f>
        <v>0.46</v>
      </c>
      <c r="D51" s="27"/>
      <c r="E51" s="27"/>
      <c r="F51" s="27"/>
      <c r="G51" s="27">
        <f t="shared" si="8"/>
        <v>0</v>
      </c>
      <c r="H51" s="2"/>
    </row>
    <row r="52" spans="1:8" x14ac:dyDescent="0.35">
      <c r="A52" s="37" t="s">
        <v>16</v>
      </c>
      <c r="B52" s="93">
        <v>450</v>
      </c>
      <c r="C52" s="94"/>
      <c r="D52" s="28">
        <f>SUM(D44:D51)</f>
        <v>6.1646399999999995</v>
      </c>
      <c r="E52" s="28">
        <f>SUM(E44:E51)</f>
        <v>9.3194999999999997</v>
      </c>
      <c r="F52" s="28">
        <f>SUM(F44:F51)</f>
        <v>16.010999999999999</v>
      </c>
      <c r="G52" s="28">
        <f>SUM(G44:G51)</f>
        <v>172.57805999999999</v>
      </c>
      <c r="H52" s="2"/>
    </row>
    <row r="53" spans="1:8" x14ac:dyDescent="0.35">
      <c r="H53" s="2"/>
    </row>
    <row r="54" spans="1:8" x14ac:dyDescent="0.35">
      <c r="A54" s="97" t="s">
        <v>72</v>
      </c>
      <c r="B54" s="97"/>
      <c r="C54" s="97"/>
      <c r="D54" s="97"/>
      <c r="E54" s="97"/>
      <c r="F54" s="97"/>
      <c r="G54" s="97"/>
      <c r="H54" s="2"/>
    </row>
    <row r="55" spans="1:8" ht="36" x14ac:dyDescent="0.35">
      <c r="A55" s="98" t="s">
        <v>2</v>
      </c>
      <c r="B55" s="98" t="s">
        <v>3</v>
      </c>
      <c r="C55" s="98"/>
      <c r="D55" s="99" t="s">
        <v>4</v>
      </c>
      <c r="E55" s="99" t="s">
        <v>5</v>
      </c>
      <c r="F55" s="98" t="s">
        <v>6</v>
      </c>
      <c r="G55" s="35" t="s">
        <v>7</v>
      </c>
      <c r="H55" s="2"/>
    </row>
    <row r="56" spans="1:8" x14ac:dyDescent="0.35">
      <c r="A56" s="98"/>
      <c r="B56" s="35" t="s">
        <v>8</v>
      </c>
      <c r="C56" s="35" t="s">
        <v>9</v>
      </c>
      <c r="D56" s="100"/>
      <c r="E56" s="100"/>
      <c r="F56" s="98"/>
      <c r="G56" s="35" t="s">
        <v>10</v>
      </c>
      <c r="H56" s="2"/>
    </row>
    <row r="57" spans="1:8" x14ac:dyDescent="0.35">
      <c r="A57" s="70" t="s">
        <v>24</v>
      </c>
      <c r="B57" s="27">
        <v>40</v>
      </c>
      <c r="C57" s="27">
        <f t="shared" ref="C57" si="9">100%*B57</f>
        <v>40</v>
      </c>
      <c r="D57" s="27">
        <f>2.6%*C57</f>
        <v>1.04</v>
      </c>
      <c r="E57" s="27">
        <f>10%*C57</f>
        <v>4</v>
      </c>
      <c r="F57" s="27">
        <f>3.8%*C57</f>
        <v>1.52</v>
      </c>
      <c r="G57" s="27">
        <f t="shared" ref="G57" si="10">4*(D57+F57)+9*E57</f>
        <v>46.24</v>
      </c>
      <c r="H57" s="2"/>
    </row>
    <row r="58" spans="1:8" x14ac:dyDescent="0.35">
      <c r="A58" s="70" t="s">
        <v>20</v>
      </c>
      <c r="B58" s="27">
        <v>1</v>
      </c>
      <c r="C58" s="27">
        <f>B58*48</f>
        <v>48</v>
      </c>
      <c r="D58" s="27">
        <f>12.7%*C58</f>
        <v>6.0960000000000001</v>
      </c>
      <c r="E58" s="27">
        <f>11.5%*C58</f>
        <v>5.5200000000000005</v>
      </c>
      <c r="F58" s="27"/>
      <c r="G58" s="27">
        <f t="shared" ref="G58" si="11">4*(D58+F58)+9*E58</f>
        <v>74.064000000000007</v>
      </c>
      <c r="H58" s="2"/>
    </row>
    <row r="59" spans="1:8" x14ac:dyDescent="0.35">
      <c r="A59" s="70" t="s">
        <v>46</v>
      </c>
      <c r="B59" s="27">
        <v>55</v>
      </c>
      <c r="C59" s="27">
        <f>72%*B59</f>
        <v>39.6</v>
      </c>
      <c r="D59" s="27">
        <f>2.1%*C59</f>
        <v>0.83160000000000012</v>
      </c>
      <c r="E59" s="27">
        <f>0.4%*C59</f>
        <v>0.15840000000000001</v>
      </c>
      <c r="F59" s="27">
        <f>15.6%*C59</f>
        <v>6.1776</v>
      </c>
      <c r="G59" s="27">
        <f>4*(D59+F59)+9*E59</f>
        <v>29.462399999999999</v>
      </c>
      <c r="H59" s="2"/>
    </row>
    <row r="60" spans="1:8" x14ac:dyDescent="0.35">
      <c r="A60" s="70" t="s">
        <v>53</v>
      </c>
      <c r="B60" s="27">
        <v>45</v>
      </c>
      <c r="C60" s="27">
        <f>90%*B60</f>
        <v>40.5</v>
      </c>
      <c r="D60" s="27">
        <f>0.8%*C60</f>
        <v>0.32400000000000001</v>
      </c>
      <c r="E60" s="27"/>
      <c r="F60" s="27">
        <f>2.6%*C60</f>
        <v>1.0530000000000002</v>
      </c>
      <c r="G60" s="27">
        <f t="shared" ref="G60" si="12">4*(D60+F60)+9*E60</f>
        <v>5.5080000000000009</v>
      </c>
      <c r="H60" s="2"/>
    </row>
    <row r="61" spans="1:8" x14ac:dyDescent="0.35">
      <c r="A61" s="78" t="s">
        <v>58</v>
      </c>
      <c r="B61" s="27">
        <v>12</v>
      </c>
      <c r="C61" s="27">
        <f>B61*80%</f>
        <v>9.6000000000000014</v>
      </c>
      <c r="D61" s="27">
        <f>1.3%*C61</f>
        <v>0.12480000000000004</v>
      </c>
      <c r="E61" s="27"/>
      <c r="F61" s="27">
        <f>4.3%*C61</f>
        <v>0.41280000000000006</v>
      </c>
      <c r="G61" s="27">
        <f>4*(D61+F61)+9*E61</f>
        <v>2.1504000000000003</v>
      </c>
      <c r="H61" s="2"/>
    </row>
    <row r="62" spans="1:8" x14ac:dyDescent="0.35">
      <c r="A62" s="41" t="s">
        <v>15</v>
      </c>
      <c r="B62" s="27">
        <v>2</v>
      </c>
      <c r="C62" s="27">
        <f>100%*B62</f>
        <v>2</v>
      </c>
      <c r="D62" s="27"/>
      <c r="E62" s="27"/>
      <c r="F62" s="27"/>
      <c r="G62" s="27">
        <f t="shared" ref="G62:G63" si="13">4*(D62+F62)+9*E62</f>
        <v>0</v>
      </c>
      <c r="H62" s="2"/>
    </row>
    <row r="63" spans="1:8" x14ac:dyDescent="0.35">
      <c r="A63" s="70" t="s">
        <v>52</v>
      </c>
      <c r="B63" s="27">
        <v>23.5</v>
      </c>
      <c r="C63" s="27">
        <f>90%*B63</f>
        <v>21.150000000000002</v>
      </c>
      <c r="D63" s="27">
        <f>1.1%*C63</f>
        <v>0.23265000000000005</v>
      </c>
      <c r="E63" s="27">
        <f>0.2%*C63</f>
        <v>4.2300000000000004E-2</v>
      </c>
      <c r="F63" s="27">
        <f>3.8%*C63</f>
        <v>0.80370000000000008</v>
      </c>
      <c r="G63" s="27">
        <f t="shared" si="13"/>
        <v>4.5261000000000005</v>
      </c>
      <c r="H63" s="2"/>
    </row>
    <row r="64" spans="1:8" x14ac:dyDescent="0.35">
      <c r="A64" s="37" t="s">
        <v>16</v>
      </c>
      <c r="B64" s="93">
        <v>200</v>
      </c>
      <c r="C64" s="94"/>
      <c r="D64" s="28">
        <f t="shared" ref="D64:F64" si="14">SUM(D57:D63)</f>
        <v>8.6490500000000008</v>
      </c>
      <c r="E64" s="28">
        <f t="shared" si="14"/>
        <v>9.7207000000000008</v>
      </c>
      <c r="F64" s="28">
        <f t="shared" si="14"/>
        <v>9.9671000000000021</v>
      </c>
      <c r="G64" s="28">
        <f>SUM(G57:G63)</f>
        <v>161.95090000000002</v>
      </c>
      <c r="H64" s="2"/>
    </row>
    <row r="65" spans="1:9" x14ac:dyDescent="0.35">
      <c r="H65" s="2"/>
    </row>
    <row r="66" spans="1:9" x14ac:dyDescent="0.35">
      <c r="H66" s="2"/>
    </row>
    <row r="67" spans="1:9" x14ac:dyDescent="0.35">
      <c r="H67" s="2"/>
    </row>
    <row r="68" spans="1:9" x14ac:dyDescent="0.35">
      <c r="H68" s="2"/>
    </row>
    <row r="69" spans="1:9" x14ac:dyDescent="0.35">
      <c r="A69" s="97" t="s">
        <v>50</v>
      </c>
      <c r="B69" s="97"/>
      <c r="C69" s="97"/>
      <c r="D69" s="97"/>
      <c r="E69" s="97"/>
      <c r="F69" s="97"/>
      <c r="G69" s="97"/>
      <c r="H69" s="2"/>
    </row>
    <row r="70" spans="1:9" ht="36" x14ac:dyDescent="0.35">
      <c r="A70" s="98" t="s">
        <v>2</v>
      </c>
      <c r="B70" s="98" t="s">
        <v>3</v>
      </c>
      <c r="C70" s="98"/>
      <c r="D70" s="99" t="s">
        <v>4</v>
      </c>
      <c r="E70" s="99" t="s">
        <v>5</v>
      </c>
      <c r="F70" s="98" t="s">
        <v>6</v>
      </c>
      <c r="G70" s="35" t="s">
        <v>7</v>
      </c>
      <c r="H70" s="2"/>
    </row>
    <row r="71" spans="1:9" x14ac:dyDescent="0.35">
      <c r="A71" s="98"/>
      <c r="B71" s="35" t="s">
        <v>8</v>
      </c>
      <c r="C71" s="35" t="s">
        <v>9</v>
      </c>
      <c r="D71" s="100"/>
      <c r="E71" s="100"/>
      <c r="F71" s="98"/>
      <c r="G71" s="35" t="s">
        <v>10</v>
      </c>
      <c r="H71" s="2"/>
      <c r="I71" s="8"/>
    </row>
    <row r="72" spans="1:9" s="8" customFormat="1" ht="36" x14ac:dyDescent="0.35">
      <c r="A72" s="70" t="s">
        <v>30</v>
      </c>
      <c r="B72" s="27">
        <v>100</v>
      </c>
      <c r="C72" s="27">
        <f>B72*75%</f>
        <v>75</v>
      </c>
      <c r="D72" s="27">
        <f>18.6%*C72</f>
        <v>13.950000000000003</v>
      </c>
      <c r="E72" s="27">
        <f>17.3%*C72</f>
        <v>12.975000000000001</v>
      </c>
      <c r="F72" s="27"/>
      <c r="G72" s="27">
        <f t="shared" ref="G72:G77" si="15">4*(D72+F72)+9*E72</f>
        <v>172.57500000000002</v>
      </c>
      <c r="H72" s="2"/>
      <c r="I72" s="1"/>
    </row>
    <row r="73" spans="1:9" ht="36" x14ac:dyDescent="0.35">
      <c r="A73" s="41" t="s">
        <v>19</v>
      </c>
      <c r="B73" s="27">
        <v>8</v>
      </c>
      <c r="C73" s="27">
        <f>100%*B73</f>
        <v>8</v>
      </c>
      <c r="D73" s="27"/>
      <c r="E73" s="27">
        <f>72.57%*C73</f>
        <v>5.8055999999999992</v>
      </c>
      <c r="F73" s="27"/>
      <c r="G73" s="27">
        <f>4*(D73+F73)+9*E73</f>
        <v>52.250399999999992</v>
      </c>
      <c r="H73" s="2"/>
    </row>
    <row r="74" spans="1:9" x14ac:dyDescent="0.35">
      <c r="A74" s="41" t="s">
        <v>45</v>
      </c>
      <c r="B74" s="27">
        <v>25</v>
      </c>
      <c r="C74" s="27">
        <f>80%*B74</f>
        <v>20</v>
      </c>
      <c r="D74" s="27">
        <f>1.77%*C74</f>
        <v>0.35399999999999998</v>
      </c>
      <c r="E74" s="27"/>
      <c r="F74" s="27">
        <f>11%*C74</f>
        <v>2.2000000000000002</v>
      </c>
      <c r="G74" s="27">
        <f t="shared" si="15"/>
        <v>10.216000000000001</v>
      </c>
      <c r="H74" s="2"/>
    </row>
    <row r="75" spans="1:9" x14ac:dyDescent="0.35">
      <c r="A75" s="70" t="s">
        <v>27</v>
      </c>
      <c r="B75" s="27">
        <v>50</v>
      </c>
      <c r="C75" s="27">
        <f>B75*100%</f>
        <v>50</v>
      </c>
      <c r="D75" s="27">
        <f>7.4%*C75</f>
        <v>3.7000000000000006</v>
      </c>
      <c r="E75" s="27">
        <f>3.14%*C75</f>
        <v>1.5700000000000003</v>
      </c>
      <c r="F75" s="27">
        <f>62.3%*C75</f>
        <v>31.15</v>
      </c>
      <c r="G75" s="27">
        <f t="shared" si="15"/>
        <v>153.53</v>
      </c>
      <c r="H75" s="2"/>
    </row>
    <row r="76" spans="1:9" x14ac:dyDescent="0.35">
      <c r="A76" s="70" t="s">
        <v>54</v>
      </c>
      <c r="B76" s="27">
        <v>1</v>
      </c>
      <c r="C76" s="27">
        <f>100%*B76</f>
        <v>1</v>
      </c>
      <c r="D76" s="27"/>
      <c r="E76" s="27"/>
      <c r="F76" s="27"/>
      <c r="G76" s="27">
        <f t="shared" si="15"/>
        <v>0</v>
      </c>
      <c r="H76" s="2"/>
    </row>
    <row r="77" spans="1:9" x14ac:dyDescent="0.35">
      <c r="A77" s="41" t="s">
        <v>15</v>
      </c>
      <c r="B77" s="27">
        <v>1.5</v>
      </c>
      <c r="C77" s="27">
        <f>100%*B77</f>
        <v>1.5</v>
      </c>
      <c r="D77" s="27"/>
      <c r="E77" s="27"/>
      <c r="F77" s="27"/>
      <c r="G77" s="27">
        <f t="shared" si="15"/>
        <v>0</v>
      </c>
      <c r="H77" s="2"/>
    </row>
    <row r="78" spans="1:9" x14ac:dyDescent="0.35">
      <c r="A78" s="37" t="s">
        <v>16</v>
      </c>
      <c r="B78" s="93">
        <v>200</v>
      </c>
      <c r="C78" s="94"/>
      <c r="D78" s="28">
        <f>SUM(D72:D77)</f>
        <v>18.004000000000001</v>
      </c>
      <c r="E78" s="28">
        <f>SUM(E72:E77)</f>
        <v>20.3506</v>
      </c>
      <c r="F78" s="28">
        <f>SUM(F72:F77)</f>
        <v>33.35</v>
      </c>
      <c r="G78" s="28">
        <f>SUM(G72:G77)</f>
        <v>388.57140000000004</v>
      </c>
      <c r="H78" s="2"/>
    </row>
    <row r="79" spans="1:9" x14ac:dyDescent="0.35">
      <c r="H79" s="2"/>
    </row>
    <row r="80" spans="1:9" x14ac:dyDescent="0.35">
      <c r="H80" s="2"/>
    </row>
    <row r="81" spans="1:9" x14ac:dyDescent="0.35">
      <c r="H81" s="2"/>
    </row>
    <row r="82" spans="1:9" x14ac:dyDescent="0.35">
      <c r="A82" s="97"/>
      <c r="B82" s="97"/>
      <c r="C82" s="97"/>
      <c r="D82" s="97"/>
      <c r="E82" s="97"/>
      <c r="F82" s="97"/>
      <c r="G82" s="97"/>
      <c r="H82" s="2"/>
    </row>
    <row r="83" spans="1:9" ht="36" x14ac:dyDescent="0.35">
      <c r="A83" s="98" t="s">
        <v>2</v>
      </c>
      <c r="B83" s="98" t="s">
        <v>3</v>
      </c>
      <c r="C83" s="98"/>
      <c r="D83" s="99" t="s">
        <v>4</v>
      </c>
      <c r="E83" s="99" t="s">
        <v>5</v>
      </c>
      <c r="F83" s="98" t="s">
        <v>6</v>
      </c>
      <c r="G83" s="35" t="s">
        <v>7</v>
      </c>
      <c r="H83" s="2"/>
    </row>
    <row r="84" spans="1:9" x14ac:dyDescent="0.35">
      <c r="A84" s="98"/>
      <c r="B84" s="35" t="s">
        <v>8</v>
      </c>
      <c r="C84" s="35" t="s">
        <v>9</v>
      </c>
      <c r="D84" s="100"/>
      <c r="E84" s="100"/>
      <c r="F84" s="98"/>
      <c r="G84" s="35" t="s">
        <v>10</v>
      </c>
      <c r="H84" s="2"/>
    </row>
    <row r="85" spans="1:9" x14ac:dyDescent="0.35">
      <c r="A85" s="79" t="s">
        <v>59</v>
      </c>
      <c r="B85" s="28">
        <v>200</v>
      </c>
      <c r="C85" s="28">
        <f>86%*B85</f>
        <v>172</v>
      </c>
      <c r="D85" s="28"/>
      <c r="E85" s="28"/>
      <c r="F85" s="28">
        <f>12%*C85</f>
        <v>20.64</v>
      </c>
      <c r="G85" s="28">
        <f>4*(D85+F85)+9*E85</f>
        <v>82.56</v>
      </c>
      <c r="H85" s="2"/>
    </row>
    <row r="86" spans="1:9" x14ac:dyDescent="0.35">
      <c r="A86" s="79" t="s">
        <v>13</v>
      </c>
      <c r="B86" s="28">
        <v>400</v>
      </c>
      <c r="C86" s="28">
        <f>B86*100%</f>
        <v>400</v>
      </c>
      <c r="D86" s="28">
        <f>C86*7.9%</f>
        <v>31.6</v>
      </c>
      <c r="E86" s="28">
        <f>C86*1%</f>
        <v>4</v>
      </c>
      <c r="F86" s="28">
        <f>C86*49.6%</f>
        <v>198.4</v>
      </c>
      <c r="G86" s="28">
        <f>4*(D86+F86)+9*E86</f>
        <v>956</v>
      </c>
      <c r="H86" s="2"/>
    </row>
    <row r="87" spans="1:9" x14ac:dyDescent="0.35">
      <c r="A87" s="37" t="s">
        <v>61</v>
      </c>
      <c r="B87" s="105">
        <f>B52+B64+B78+C85+C86</f>
        <v>1422</v>
      </c>
      <c r="C87" s="106"/>
      <c r="D87" s="28">
        <f>D52+D64+D78+D85+D86</f>
        <v>64.417689999999993</v>
      </c>
      <c r="E87" s="28">
        <f>E52+E64+E78+E85+E86</f>
        <v>43.390799999999999</v>
      </c>
      <c r="F87" s="28">
        <f>F52+F64+F78+F85+F86</f>
        <v>278.36810000000003</v>
      </c>
      <c r="G87" s="28">
        <f>G52+G64+G78+G85+G86</f>
        <v>1761.6603600000001</v>
      </c>
      <c r="H87" s="2"/>
    </row>
    <row r="88" spans="1:9" x14ac:dyDescent="0.35">
      <c r="H88" s="2"/>
    </row>
    <row r="89" spans="1:9" x14ac:dyDescent="0.35">
      <c r="H89" s="2"/>
    </row>
    <row r="90" spans="1:9" x14ac:dyDescent="0.35">
      <c r="H90" s="2"/>
    </row>
    <row r="91" spans="1:9" x14ac:dyDescent="0.35">
      <c r="H91" s="2"/>
    </row>
    <row r="92" spans="1:9" x14ac:dyDescent="0.35">
      <c r="A92" s="75" t="s">
        <v>63</v>
      </c>
      <c r="H92" s="2"/>
    </row>
    <row r="93" spans="1:9" x14ac:dyDescent="0.35">
      <c r="A93" s="97" t="s">
        <v>130</v>
      </c>
      <c r="B93" s="97"/>
      <c r="C93" s="97"/>
      <c r="D93" s="97"/>
      <c r="E93" s="97"/>
      <c r="F93" s="97"/>
      <c r="G93" s="97"/>
      <c r="H93" s="2"/>
      <c r="I93" s="8"/>
    </row>
    <row r="94" spans="1:9" ht="36" x14ac:dyDescent="0.35">
      <c r="A94" s="98" t="s">
        <v>2</v>
      </c>
      <c r="B94" s="98" t="s">
        <v>3</v>
      </c>
      <c r="C94" s="98"/>
      <c r="D94" s="99" t="s">
        <v>4</v>
      </c>
      <c r="E94" s="99" t="s">
        <v>5</v>
      </c>
      <c r="F94" s="98" t="s">
        <v>6</v>
      </c>
      <c r="G94" s="35" t="s">
        <v>7</v>
      </c>
      <c r="H94" s="2"/>
      <c r="I94" s="8"/>
    </row>
    <row r="95" spans="1:9" s="8" customFormat="1" x14ac:dyDescent="0.35">
      <c r="A95" s="98"/>
      <c r="B95" s="35" t="s">
        <v>8</v>
      </c>
      <c r="C95" s="35" t="s">
        <v>9</v>
      </c>
      <c r="D95" s="100"/>
      <c r="E95" s="100"/>
      <c r="F95" s="98"/>
      <c r="G95" s="35" t="s">
        <v>10</v>
      </c>
      <c r="H95" s="2"/>
      <c r="I95" s="1"/>
    </row>
    <row r="96" spans="1:9" ht="36" x14ac:dyDescent="0.35">
      <c r="A96" s="70" t="s">
        <v>30</v>
      </c>
      <c r="B96" s="27">
        <v>150</v>
      </c>
      <c r="C96" s="27">
        <f>B96*75%</f>
        <v>112.5</v>
      </c>
      <c r="D96" s="27">
        <f>18.6%*C96</f>
        <v>20.925000000000004</v>
      </c>
      <c r="E96" s="27">
        <f>17.3%*C96</f>
        <v>19.462500000000002</v>
      </c>
      <c r="F96" s="27"/>
      <c r="G96" s="27">
        <f t="shared" ref="G96:G102" si="16">4*(D96+F96)+9*E96</f>
        <v>258.86250000000007</v>
      </c>
      <c r="H96" s="2"/>
    </row>
    <row r="97" spans="1:8" x14ac:dyDescent="0.35">
      <c r="A97" s="70" t="s">
        <v>13</v>
      </c>
      <c r="B97" s="27">
        <v>15</v>
      </c>
      <c r="C97" s="27">
        <f>B97*100%</f>
        <v>15</v>
      </c>
      <c r="D97" s="27">
        <f>C97*7.9%</f>
        <v>1.1850000000000001</v>
      </c>
      <c r="E97" s="27">
        <f>C97*1%</f>
        <v>0.15</v>
      </c>
      <c r="F97" s="27">
        <f>C97*49.6%</f>
        <v>7.4399999999999995</v>
      </c>
      <c r="G97" s="27">
        <f t="shared" si="16"/>
        <v>35.85</v>
      </c>
      <c r="H97" s="2"/>
    </row>
    <row r="98" spans="1:8" x14ac:dyDescent="0.35">
      <c r="A98" s="70" t="s">
        <v>20</v>
      </c>
      <c r="B98" s="27">
        <v>1</v>
      </c>
      <c r="C98" s="27">
        <f>B98*48</f>
        <v>48</v>
      </c>
      <c r="D98" s="27">
        <f>12.7%*C98</f>
        <v>6.0960000000000001</v>
      </c>
      <c r="E98" s="27">
        <f>11.5%*C98</f>
        <v>5.5200000000000005</v>
      </c>
      <c r="F98" s="27"/>
      <c r="G98" s="27">
        <f t="shared" si="16"/>
        <v>74.064000000000007</v>
      </c>
      <c r="H98" s="2"/>
    </row>
    <row r="99" spans="1:8" x14ac:dyDescent="0.35">
      <c r="A99" s="70" t="s">
        <v>131</v>
      </c>
      <c r="B99" s="27">
        <v>20</v>
      </c>
      <c r="C99" s="27">
        <f>85%*B99</f>
        <v>17</v>
      </c>
      <c r="D99" s="27"/>
      <c r="E99" s="27"/>
      <c r="F99" s="27"/>
      <c r="G99" s="27">
        <f t="shared" si="16"/>
        <v>0</v>
      </c>
      <c r="H99" s="2"/>
    </row>
    <row r="100" spans="1:8" x14ac:dyDescent="0.35">
      <c r="A100" s="70" t="s">
        <v>31</v>
      </c>
      <c r="B100" s="27">
        <v>10</v>
      </c>
      <c r="C100" s="27">
        <f>100%*B100</f>
        <v>10</v>
      </c>
      <c r="D100" s="27">
        <f>2.8%*C100</f>
        <v>0.27999999999999997</v>
      </c>
      <c r="E100" s="27">
        <f>3.2%*C100</f>
        <v>0.32</v>
      </c>
      <c r="F100" s="27">
        <f>4.7%*C100</f>
        <v>0.47</v>
      </c>
      <c r="G100" s="27">
        <f t="shared" si="16"/>
        <v>5.88</v>
      </c>
      <c r="H100" s="2"/>
    </row>
    <row r="101" spans="1:8" ht="36" x14ac:dyDescent="0.35">
      <c r="A101" s="41" t="s">
        <v>19</v>
      </c>
      <c r="B101" s="27">
        <v>5</v>
      </c>
      <c r="C101" s="27">
        <f>100%*B101</f>
        <v>5</v>
      </c>
      <c r="D101" s="27"/>
      <c r="E101" s="27">
        <f>72.57%*C101</f>
        <v>3.6284999999999994</v>
      </c>
      <c r="F101" s="27"/>
      <c r="G101" s="27">
        <f>4*(D101+F101)+9*E101</f>
        <v>32.656499999999994</v>
      </c>
      <c r="H101" s="2"/>
    </row>
    <row r="102" spans="1:8" x14ac:dyDescent="0.35">
      <c r="A102" s="41" t="s">
        <v>15</v>
      </c>
      <c r="B102" s="27">
        <v>1</v>
      </c>
      <c r="C102" s="27">
        <f>100%*B102</f>
        <v>1</v>
      </c>
      <c r="D102" s="27"/>
      <c r="E102" s="27"/>
      <c r="F102" s="27"/>
      <c r="G102" s="27">
        <f t="shared" si="16"/>
        <v>0</v>
      </c>
      <c r="H102" s="2"/>
    </row>
    <row r="103" spans="1:8" x14ac:dyDescent="0.35">
      <c r="A103" s="37" t="s">
        <v>16</v>
      </c>
      <c r="B103" s="93">
        <v>150</v>
      </c>
      <c r="C103" s="94"/>
      <c r="D103" s="28">
        <f>SUM(D96:D102)</f>
        <v>28.486000000000004</v>
      </c>
      <c r="E103" s="28">
        <f>SUM(E96:E102)</f>
        <v>29.081</v>
      </c>
      <c r="F103" s="28">
        <f>SUM(F97:F102)</f>
        <v>7.9099999999999993</v>
      </c>
      <c r="G103" s="28">
        <f>SUM(G96:G102)</f>
        <v>407.3130000000001</v>
      </c>
      <c r="H103" s="2"/>
    </row>
    <row r="104" spans="1:8" x14ac:dyDescent="0.35">
      <c r="H104" s="2"/>
    </row>
    <row r="105" spans="1:8" x14ac:dyDescent="0.35">
      <c r="H105" s="2"/>
    </row>
    <row r="106" spans="1:8" x14ac:dyDescent="0.35">
      <c r="H106" s="2"/>
    </row>
    <row r="107" spans="1:8" x14ac:dyDescent="0.35">
      <c r="A107" s="97" t="s">
        <v>73</v>
      </c>
      <c r="B107" s="97"/>
      <c r="C107" s="97"/>
      <c r="D107" s="97"/>
      <c r="E107" s="97"/>
      <c r="F107" s="97"/>
      <c r="G107" s="97"/>
      <c r="H107" s="2"/>
    </row>
    <row r="108" spans="1:8" ht="36" x14ac:dyDescent="0.35">
      <c r="A108" s="98" t="s">
        <v>2</v>
      </c>
      <c r="B108" s="98" t="s">
        <v>3</v>
      </c>
      <c r="C108" s="98"/>
      <c r="D108" s="99" t="s">
        <v>4</v>
      </c>
      <c r="E108" s="99" t="s">
        <v>5</v>
      </c>
      <c r="F108" s="98" t="s">
        <v>6</v>
      </c>
      <c r="G108" s="35" t="s">
        <v>7</v>
      </c>
      <c r="H108" s="2"/>
    </row>
    <row r="109" spans="1:8" x14ac:dyDescent="0.35">
      <c r="A109" s="98"/>
      <c r="B109" s="35" t="s">
        <v>8</v>
      </c>
      <c r="C109" s="35" t="s">
        <v>9</v>
      </c>
      <c r="D109" s="100"/>
      <c r="E109" s="100"/>
      <c r="F109" s="98"/>
      <c r="G109" s="35" t="s">
        <v>10</v>
      </c>
      <c r="H109" s="2"/>
    </row>
    <row r="110" spans="1:8" x14ac:dyDescent="0.35">
      <c r="A110" s="41" t="s">
        <v>46</v>
      </c>
      <c r="B110" s="27">
        <v>200</v>
      </c>
      <c r="C110" s="27">
        <f>72%*B110</f>
        <v>144</v>
      </c>
      <c r="D110" s="27">
        <f>2.1%*C110</f>
        <v>3.024</v>
      </c>
      <c r="E110" s="27">
        <f>0.4%*C110</f>
        <v>0.57600000000000007</v>
      </c>
      <c r="F110" s="27">
        <f>15.6%*C110</f>
        <v>22.463999999999999</v>
      </c>
      <c r="G110" s="27">
        <f>4*(D110+F110)+9*E110</f>
        <v>107.136</v>
      </c>
      <c r="H110" s="2"/>
    </row>
    <row r="111" spans="1:8" s="22" customFormat="1" x14ac:dyDescent="0.35">
      <c r="A111" s="41" t="s">
        <v>14</v>
      </c>
      <c r="B111" s="27">
        <v>20</v>
      </c>
      <c r="C111" s="27">
        <f>100%*B111</f>
        <v>20</v>
      </c>
      <c r="D111" s="27"/>
      <c r="E111" s="27">
        <f>99.9%*C111</f>
        <v>19.980000000000004</v>
      </c>
      <c r="F111" s="27"/>
      <c r="G111" s="27">
        <f>4*(D111+F111)+9*E111</f>
        <v>179.82000000000005</v>
      </c>
      <c r="H111" s="23"/>
    </row>
    <row r="112" spans="1:8" x14ac:dyDescent="0.35">
      <c r="A112" s="41" t="s">
        <v>15</v>
      </c>
      <c r="B112" s="27">
        <v>2</v>
      </c>
      <c r="C112" s="27">
        <f>100%*B112</f>
        <v>2</v>
      </c>
      <c r="D112" s="27"/>
      <c r="E112" s="27"/>
      <c r="F112" s="27"/>
      <c r="G112" s="27">
        <f t="shared" ref="G112" si="17">4*(D112+F112)+9*E112</f>
        <v>0</v>
      </c>
      <c r="H112" s="2"/>
    </row>
    <row r="113" spans="1:9" x14ac:dyDescent="0.35">
      <c r="A113" s="37" t="s">
        <v>16</v>
      </c>
      <c r="B113" s="95">
        <v>135</v>
      </c>
      <c r="C113" s="96"/>
      <c r="D113" s="28">
        <f t="shared" ref="D113:F113" si="18">SUM(D110:D112)</f>
        <v>3.024</v>
      </c>
      <c r="E113" s="28">
        <f t="shared" si="18"/>
        <v>20.556000000000004</v>
      </c>
      <c r="F113" s="28">
        <f t="shared" si="18"/>
        <v>22.463999999999999</v>
      </c>
      <c r="G113" s="28">
        <f>SUM(G110:G112)</f>
        <v>286.95600000000002</v>
      </c>
      <c r="H113" s="2"/>
    </row>
    <row r="114" spans="1:9" s="10" customFormat="1" x14ac:dyDescent="0.35">
      <c r="A114" s="74"/>
      <c r="B114" s="39"/>
      <c r="C114" s="39"/>
      <c r="D114" s="39"/>
      <c r="E114" s="39"/>
      <c r="F114" s="39"/>
      <c r="G114" s="39"/>
      <c r="H114" s="11"/>
    </row>
    <row r="115" spans="1:9" x14ac:dyDescent="0.35">
      <c r="A115" s="97" t="s">
        <v>128</v>
      </c>
      <c r="B115" s="97"/>
      <c r="C115" s="97"/>
      <c r="D115" s="97"/>
      <c r="E115" s="97"/>
      <c r="F115" s="97"/>
      <c r="G115" s="97"/>
      <c r="H115" s="2"/>
    </row>
    <row r="116" spans="1:9" ht="36" x14ac:dyDescent="0.35">
      <c r="A116" s="98" t="s">
        <v>2</v>
      </c>
      <c r="B116" s="98" t="s">
        <v>3</v>
      </c>
      <c r="C116" s="98"/>
      <c r="D116" s="99" t="s">
        <v>4</v>
      </c>
      <c r="E116" s="99" t="s">
        <v>5</v>
      </c>
      <c r="F116" s="98" t="s">
        <v>6</v>
      </c>
      <c r="G116" s="35" t="s">
        <v>7</v>
      </c>
      <c r="H116" s="2"/>
    </row>
    <row r="117" spans="1:9" x14ac:dyDescent="0.35">
      <c r="A117" s="98"/>
      <c r="B117" s="35" t="s">
        <v>8</v>
      </c>
      <c r="C117" s="35" t="s">
        <v>9</v>
      </c>
      <c r="D117" s="100"/>
      <c r="E117" s="100"/>
      <c r="F117" s="98"/>
      <c r="G117" s="35" t="s">
        <v>10</v>
      </c>
      <c r="H117" s="2"/>
    </row>
    <row r="118" spans="1:9" x14ac:dyDescent="0.35">
      <c r="A118" s="41" t="s">
        <v>29</v>
      </c>
      <c r="B118" s="27">
        <v>1</v>
      </c>
      <c r="C118" s="27">
        <f>100%*B118</f>
        <v>1</v>
      </c>
      <c r="D118" s="27"/>
      <c r="E118" s="27"/>
      <c r="F118" s="27"/>
      <c r="G118" s="27">
        <f>4*(D118+F118)+9*E118</f>
        <v>0</v>
      </c>
      <c r="H118" s="2"/>
    </row>
    <row r="119" spans="1:9" x14ac:dyDescent="0.35">
      <c r="A119" s="70" t="s">
        <v>22</v>
      </c>
      <c r="B119" s="27">
        <v>20</v>
      </c>
      <c r="C119" s="27">
        <f>100%*B119</f>
        <v>20</v>
      </c>
      <c r="D119" s="27"/>
      <c r="E119" s="27"/>
      <c r="F119" s="27">
        <f>99%*C119</f>
        <v>19.8</v>
      </c>
      <c r="G119" s="27">
        <f>4*(D119+F119)+9*E119</f>
        <v>79.2</v>
      </c>
      <c r="H119" s="3"/>
      <c r="I119" s="9"/>
    </row>
    <row r="120" spans="1:9" s="9" customFormat="1" x14ac:dyDescent="0.35">
      <c r="A120" s="47" t="s">
        <v>16</v>
      </c>
      <c r="B120" s="95">
        <v>250</v>
      </c>
      <c r="C120" s="96"/>
      <c r="D120" s="28">
        <f>SUM(D118:D119)</f>
        <v>0</v>
      </c>
      <c r="E120" s="28">
        <f>SUM(E118:E119)</f>
        <v>0</v>
      </c>
      <c r="F120" s="28">
        <f>SUM(F118:F119)</f>
        <v>19.8</v>
      </c>
      <c r="G120" s="28">
        <f>SUM(G118:G119)</f>
        <v>79.2</v>
      </c>
      <c r="H120" s="2"/>
      <c r="I120" s="8"/>
    </row>
    <row r="121" spans="1:9" x14ac:dyDescent="0.35">
      <c r="A121" s="79" t="s">
        <v>28</v>
      </c>
      <c r="B121" s="28">
        <v>10</v>
      </c>
      <c r="C121" s="28">
        <f>100%*B121</f>
        <v>10</v>
      </c>
      <c r="D121" s="28">
        <f>0.5%*C121</f>
        <v>0.05</v>
      </c>
      <c r="E121" s="28">
        <f>82.5%*C121</f>
        <v>8.25</v>
      </c>
      <c r="F121" s="28">
        <f>0.8%*C121</f>
        <v>0.08</v>
      </c>
      <c r="G121" s="28">
        <f>4*(D121+F121)+9*E121</f>
        <v>74.77</v>
      </c>
      <c r="H121" s="2"/>
    </row>
    <row r="122" spans="1:9" x14ac:dyDescent="0.35">
      <c r="A122" s="79" t="s">
        <v>13</v>
      </c>
      <c r="B122" s="28">
        <v>200</v>
      </c>
      <c r="C122" s="28">
        <f>B122*100%</f>
        <v>200</v>
      </c>
      <c r="D122" s="28">
        <f>C122*7.9%</f>
        <v>15.8</v>
      </c>
      <c r="E122" s="28">
        <f>C122*1%</f>
        <v>2</v>
      </c>
      <c r="F122" s="28">
        <f>C122*49.6%</f>
        <v>99.2</v>
      </c>
      <c r="G122" s="28">
        <f>4*(D122+F122)+9*E122</f>
        <v>478</v>
      </c>
      <c r="H122" s="2"/>
    </row>
    <row r="123" spans="1:9" x14ac:dyDescent="0.35">
      <c r="A123" s="37" t="s">
        <v>67</v>
      </c>
      <c r="B123" s="107">
        <f>B103+B113+B120+C121+C122</f>
        <v>745</v>
      </c>
      <c r="C123" s="94"/>
      <c r="D123" s="28">
        <f t="shared" ref="D123:F123" si="19">D103+D113+D120+D121+D122</f>
        <v>47.360000000000007</v>
      </c>
      <c r="E123" s="28">
        <f t="shared" si="19"/>
        <v>59.887</v>
      </c>
      <c r="F123" s="28">
        <f t="shared" si="19"/>
        <v>149.45400000000001</v>
      </c>
      <c r="G123" s="28">
        <f>G103+G113+G120+G121+G122</f>
        <v>1326.239</v>
      </c>
      <c r="H123" s="2"/>
    </row>
    <row r="124" spans="1:9" x14ac:dyDescent="0.35">
      <c r="H124" s="2"/>
    </row>
    <row r="125" spans="1:9" x14ac:dyDescent="0.35">
      <c r="H125" s="2"/>
    </row>
    <row r="126" spans="1:9" x14ac:dyDescent="0.35">
      <c r="A126" s="80" t="s">
        <v>68</v>
      </c>
      <c r="B126" s="104">
        <f>B37+B87+B123</f>
        <v>3147</v>
      </c>
      <c r="C126" s="104"/>
      <c r="D126" s="50">
        <f>D37+D87+D123</f>
        <v>166.24369000000002</v>
      </c>
      <c r="E126" s="50">
        <f>E37+E87+E123</f>
        <v>152.80289999999999</v>
      </c>
      <c r="F126" s="50">
        <f>F37+F87+F123</f>
        <v>648.91710000000012</v>
      </c>
      <c r="G126" s="50">
        <f>G37+G87+G123</f>
        <v>4635.8692599999995</v>
      </c>
      <c r="H126" s="2"/>
    </row>
    <row r="127" spans="1:9" x14ac:dyDescent="0.35">
      <c r="H127" s="2"/>
    </row>
    <row r="128" spans="1:9" x14ac:dyDescent="0.35">
      <c r="G128" s="51"/>
      <c r="H128" s="2"/>
    </row>
    <row r="129" spans="1:8" x14ac:dyDescent="0.35">
      <c r="A129" s="69" t="s">
        <v>78</v>
      </c>
      <c r="G129" s="33">
        <f>G37/G126</f>
        <v>0.33391146582938802</v>
      </c>
      <c r="H129" s="2"/>
    </row>
    <row r="130" spans="1:8" x14ac:dyDescent="0.35">
      <c r="A130" s="69" t="s">
        <v>79</v>
      </c>
      <c r="G130" s="33">
        <f>G87/G126</f>
        <v>0.38000648016549116</v>
      </c>
      <c r="H130" s="2"/>
    </row>
    <row r="131" spans="1:8" x14ac:dyDescent="0.35">
      <c r="A131" s="69" t="s">
        <v>80</v>
      </c>
      <c r="G131" s="33">
        <f>G123/G126</f>
        <v>0.28608205400512099</v>
      </c>
      <c r="H131" s="2"/>
    </row>
    <row r="132" spans="1:8" x14ac:dyDescent="0.35">
      <c r="H132" s="2"/>
    </row>
    <row r="133" spans="1:8" x14ac:dyDescent="0.35">
      <c r="H133" s="2"/>
    </row>
    <row r="134" spans="1:8" x14ac:dyDescent="0.35">
      <c r="H134" s="2"/>
    </row>
    <row r="135" spans="1:8" x14ac:dyDescent="0.35">
      <c r="H135" s="2"/>
    </row>
    <row r="136" spans="1:8" x14ac:dyDescent="0.35">
      <c r="H136" s="2"/>
    </row>
    <row r="137" spans="1:8" x14ac:dyDescent="0.35">
      <c r="H137" s="2"/>
    </row>
    <row r="138" spans="1:8" x14ac:dyDescent="0.35">
      <c r="H138" s="2"/>
    </row>
    <row r="139" spans="1:8" x14ac:dyDescent="0.35">
      <c r="H139" s="2"/>
    </row>
    <row r="140" spans="1:8" x14ac:dyDescent="0.35">
      <c r="H140" s="2"/>
    </row>
    <row r="141" spans="1:8" x14ac:dyDescent="0.35">
      <c r="H141" s="2"/>
    </row>
    <row r="142" spans="1:8" x14ac:dyDescent="0.35">
      <c r="H142" s="2"/>
    </row>
    <row r="143" spans="1:8" x14ac:dyDescent="0.35">
      <c r="H143" s="2"/>
    </row>
    <row r="144" spans="1:8" x14ac:dyDescent="0.35">
      <c r="H144" s="2"/>
    </row>
    <row r="145" spans="8:8" x14ac:dyDescent="0.35">
      <c r="H145" s="2"/>
    </row>
    <row r="146" spans="8:8" x14ac:dyDescent="0.35">
      <c r="H146" s="2"/>
    </row>
    <row r="147" spans="8:8" x14ac:dyDescent="0.35">
      <c r="H147" s="2"/>
    </row>
    <row r="148" spans="8:8" x14ac:dyDescent="0.35">
      <c r="H148" s="2"/>
    </row>
    <row r="149" spans="8:8" x14ac:dyDescent="0.35">
      <c r="H149" s="2"/>
    </row>
    <row r="150" spans="8:8" x14ac:dyDescent="0.35">
      <c r="H150" s="2"/>
    </row>
    <row r="151" spans="8:8" x14ac:dyDescent="0.35">
      <c r="H151" s="2"/>
    </row>
    <row r="152" spans="8:8" x14ac:dyDescent="0.35">
      <c r="H152" s="2"/>
    </row>
    <row r="153" spans="8:8" x14ac:dyDescent="0.35">
      <c r="H153" s="2"/>
    </row>
    <row r="154" spans="8:8" x14ac:dyDescent="0.35">
      <c r="H154" s="2"/>
    </row>
    <row r="155" spans="8:8" x14ac:dyDescent="0.35">
      <c r="H155" s="2"/>
    </row>
    <row r="156" spans="8:8" x14ac:dyDescent="0.35">
      <c r="H156" s="2"/>
    </row>
    <row r="157" spans="8:8" x14ac:dyDescent="0.35">
      <c r="H157" s="2"/>
    </row>
    <row r="158" spans="8:8" x14ac:dyDescent="0.35">
      <c r="H158" s="2"/>
    </row>
    <row r="159" spans="8:8" x14ac:dyDescent="0.35">
      <c r="H159" s="2"/>
    </row>
    <row r="160" spans="8:8" x14ac:dyDescent="0.35">
      <c r="H160" s="2"/>
    </row>
    <row r="161" spans="8:8" x14ac:dyDescent="0.35">
      <c r="H161" s="2"/>
    </row>
    <row r="162" spans="8:8" x14ac:dyDescent="0.35">
      <c r="H162" s="2"/>
    </row>
    <row r="163" spans="8:8" x14ac:dyDescent="0.35">
      <c r="H163" s="2"/>
    </row>
    <row r="164" spans="8:8" x14ac:dyDescent="0.35">
      <c r="H164" s="2"/>
    </row>
    <row r="165" spans="8:8" x14ac:dyDescent="0.35">
      <c r="H165" s="2"/>
    </row>
    <row r="166" spans="8:8" x14ac:dyDescent="0.35">
      <c r="H166" s="2"/>
    </row>
    <row r="167" spans="8:8" x14ac:dyDescent="0.35">
      <c r="H167" s="2"/>
    </row>
    <row r="168" spans="8:8" x14ac:dyDescent="0.35">
      <c r="H168" s="2"/>
    </row>
    <row r="169" spans="8:8" x14ac:dyDescent="0.35">
      <c r="H169" s="2"/>
    </row>
    <row r="170" spans="8:8" x14ac:dyDescent="0.35">
      <c r="H170" s="2"/>
    </row>
    <row r="171" spans="8:8" x14ac:dyDescent="0.35">
      <c r="H171" s="2"/>
    </row>
    <row r="172" spans="8:8" x14ac:dyDescent="0.35">
      <c r="H172" s="2"/>
    </row>
    <row r="173" spans="8:8" x14ac:dyDescent="0.35">
      <c r="H173" s="2"/>
    </row>
    <row r="174" spans="8:8" x14ac:dyDescent="0.35">
      <c r="H174" s="2"/>
    </row>
    <row r="175" spans="8:8" x14ac:dyDescent="0.35">
      <c r="H175" s="2"/>
    </row>
    <row r="176" spans="8:8" x14ac:dyDescent="0.35">
      <c r="H176" s="2"/>
    </row>
    <row r="177" spans="8:8" x14ac:dyDescent="0.35">
      <c r="H177" s="2"/>
    </row>
    <row r="178" spans="8:8" x14ac:dyDescent="0.35">
      <c r="H178" s="2"/>
    </row>
    <row r="179" spans="8:8" x14ac:dyDescent="0.35">
      <c r="H179" s="2"/>
    </row>
    <row r="180" spans="8:8" x14ac:dyDescent="0.35">
      <c r="H180" s="2"/>
    </row>
    <row r="181" spans="8:8" x14ac:dyDescent="0.35">
      <c r="H181" s="2"/>
    </row>
    <row r="182" spans="8:8" x14ac:dyDescent="0.35">
      <c r="H182" s="2"/>
    </row>
    <row r="183" spans="8:8" x14ac:dyDescent="0.35">
      <c r="H183" s="2"/>
    </row>
    <row r="184" spans="8:8" x14ac:dyDescent="0.35">
      <c r="H184" s="2"/>
    </row>
    <row r="185" spans="8:8" x14ac:dyDescent="0.35">
      <c r="H185" s="2"/>
    </row>
    <row r="186" spans="8:8" x14ac:dyDescent="0.35">
      <c r="H186" s="2"/>
    </row>
    <row r="187" spans="8:8" x14ac:dyDescent="0.35">
      <c r="H187" s="2"/>
    </row>
    <row r="188" spans="8:8" x14ac:dyDescent="0.35">
      <c r="H188" s="2"/>
    </row>
    <row r="189" spans="8:8" x14ac:dyDescent="0.35">
      <c r="H189" s="2"/>
    </row>
    <row r="190" spans="8:8" x14ac:dyDescent="0.35">
      <c r="H190" s="2"/>
    </row>
    <row r="191" spans="8:8" x14ac:dyDescent="0.35">
      <c r="H191" s="2"/>
    </row>
    <row r="192" spans="8:8" x14ac:dyDescent="0.35">
      <c r="H192" s="2"/>
    </row>
    <row r="193" spans="8:8" x14ac:dyDescent="0.35">
      <c r="H193" s="2"/>
    </row>
    <row r="194" spans="8:8" x14ac:dyDescent="0.35">
      <c r="H194" s="2"/>
    </row>
    <row r="195" spans="8:8" x14ac:dyDescent="0.35">
      <c r="H195" s="2"/>
    </row>
    <row r="196" spans="8:8" x14ac:dyDescent="0.35">
      <c r="H196" s="2"/>
    </row>
    <row r="197" spans="8:8" x14ac:dyDescent="0.35">
      <c r="H197" s="2"/>
    </row>
    <row r="198" spans="8:8" x14ac:dyDescent="0.35">
      <c r="H198" s="2"/>
    </row>
    <row r="199" spans="8:8" x14ac:dyDescent="0.35">
      <c r="H199" s="2"/>
    </row>
    <row r="200" spans="8:8" x14ac:dyDescent="0.35">
      <c r="H200" s="2"/>
    </row>
    <row r="201" spans="8:8" x14ac:dyDescent="0.35">
      <c r="H201" s="2"/>
    </row>
    <row r="202" spans="8:8" x14ac:dyDescent="0.35">
      <c r="H202" s="2"/>
    </row>
    <row r="203" spans="8:8" x14ac:dyDescent="0.35">
      <c r="H203" s="2"/>
    </row>
    <row r="204" spans="8:8" x14ac:dyDescent="0.35">
      <c r="H204" s="2"/>
    </row>
    <row r="205" spans="8:8" x14ac:dyDescent="0.35">
      <c r="H205" s="2"/>
    </row>
    <row r="206" spans="8:8" x14ac:dyDescent="0.35">
      <c r="H206" s="2"/>
    </row>
    <row r="207" spans="8:8" x14ac:dyDescent="0.35">
      <c r="H207" s="2"/>
    </row>
    <row r="208" spans="8:8" x14ac:dyDescent="0.35">
      <c r="H208" s="2"/>
    </row>
    <row r="209" spans="8:8" x14ac:dyDescent="0.35">
      <c r="H209" s="2"/>
    </row>
    <row r="210" spans="8:8" x14ac:dyDescent="0.35">
      <c r="H210" s="2"/>
    </row>
    <row r="211" spans="8:8" x14ac:dyDescent="0.35">
      <c r="H211" s="2"/>
    </row>
    <row r="212" spans="8:8" x14ac:dyDescent="0.35">
      <c r="H212" s="2"/>
    </row>
    <row r="213" spans="8:8" x14ac:dyDescent="0.35">
      <c r="H213" s="2"/>
    </row>
    <row r="214" spans="8:8" x14ac:dyDescent="0.35">
      <c r="H214" s="2"/>
    </row>
    <row r="215" spans="8:8" x14ac:dyDescent="0.35">
      <c r="H215" s="2"/>
    </row>
    <row r="216" spans="8:8" x14ac:dyDescent="0.35">
      <c r="H216" s="2"/>
    </row>
    <row r="217" spans="8:8" x14ac:dyDescent="0.35">
      <c r="H217" s="2"/>
    </row>
    <row r="218" spans="8:8" x14ac:dyDescent="0.35">
      <c r="H218" s="2"/>
    </row>
    <row r="219" spans="8:8" x14ac:dyDescent="0.35">
      <c r="H219" s="2"/>
    </row>
    <row r="220" spans="8:8" x14ac:dyDescent="0.35">
      <c r="H220" s="2"/>
    </row>
    <row r="221" spans="8:8" x14ac:dyDescent="0.35">
      <c r="H221" s="2"/>
    </row>
    <row r="222" spans="8:8" x14ac:dyDescent="0.35">
      <c r="H222" s="2"/>
    </row>
    <row r="223" spans="8:8" x14ac:dyDescent="0.35">
      <c r="H223" s="2"/>
    </row>
    <row r="224" spans="8:8" x14ac:dyDescent="0.35">
      <c r="H224" s="2"/>
    </row>
    <row r="225" spans="8:8" x14ac:dyDescent="0.35">
      <c r="H225" s="2"/>
    </row>
  </sheetData>
  <mergeCells count="81">
    <mergeCell ref="A1:G1"/>
    <mergeCell ref="A2:G3"/>
    <mergeCell ref="E22:E23"/>
    <mergeCell ref="F22:F23"/>
    <mergeCell ref="B26:C26"/>
    <mergeCell ref="B120:C120"/>
    <mergeCell ref="B123:C123"/>
    <mergeCell ref="E94:E95"/>
    <mergeCell ref="F94:F95"/>
    <mergeCell ref="B78:C78"/>
    <mergeCell ref="A82:G82"/>
    <mergeCell ref="A83:A84"/>
    <mergeCell ref="B83:C83"/>
    <mergeCell ref="D83:D84"/>
    <mergeCell ref="E83:E84"/>
    <mergeCell ref="F83:F84"/>
    <mergeCell ref="B64:C64"/>
    <mergeCell ref="A69:G69"/>
    <mergeCell ref="B126:C126"/>
    <mergeCell ref="A22:A23"/>
    <mergeCell ref="B22:C22"/>
    <mergeCell ref="D22:D23"/>
    <mergeCell ref="B103:C103"/>
    <mergeCell ref="A115:G115"/>
    <mergeCell ref="A116:A117"/>
    <mergeCell ref="B116:C116"/>
    <mergeCell ref="D116:D117"/>
    <mergeCell ref="E116:E117"/>
    <mergeCell ref="F116:F117"/>
    <mergeCell ref="B87:C87"/>
    <mergeCell ref="A93:G93"/>
    <mergeCell ref="A94:A95"/>
    <mergeCell ref="B94:C94"/>
    <mergeCell ref="D94:D95"/>
    <mergeCell ref="A70:A71"/>
    <mergeCell ref="B70:C70"/>
    <mergeCell ref="D70:D71"/>
    <mergeCell ref="E70:E71"/>
    <mergeCell ref="F70:F71"/>
    <mergeCell ref="B52:C52"/>
    <mergeCell ref="A54:G54"/>
    <mergeCell ref="A55:A56"/>
    <mergeCell ref="B55:C55"/>
    <mergeCell ref="D55:D56"/>
    <mergeCell ref="E55:E56"/>
    <mergeCell ref="F55:F56"/>
    <mergeCell ref="B37:C37"/>
    <mergeCell ref="A41:G41"/>
    <mergeCell ref="A42:A43"/>
    <mergeCell ref="B42:C42"/>
    <mergeCell ref="D42:D43"/>
    <mergeCell ref="E42:E43"/>
    <mergeCell ref="F42:F43"/>
    <mergeCell ref="A31:A32"/>
    <mergeCell ref="B31:C31"/>
    <mergeCell ref="D31:D32"/>
    <mergeCell ref="E31:E32"/>
    <mergeCell ref="F31:F32"/>
    <mergeCell ref="E7:E8"/>
    <mergeCell ref="F7:F8"/>
    <mergeCell ref="A21:G21"/>
    <mergeCell ref="A13:A14"/>
    <mergeCell ref="B13:C13"/>
    <mergeCell ref="D13:D14"/>
    <mergeCell ref="E13:E14"/>
    <mergeCell ref="F13:F14"/>
    <mergeCell ref="B19:C19"/>
    <mergeCell ref="B10:C10"/>
    <mergeCell ref="B113:C113"/>
    <mergeCell ref="A107:G107"/>
    <mergeCell ref="A108:A109"/>
    <mergeCell ref="B108:C108"/>
    <mergeCell ref="D108:D109"/>
    <mergeCell ref="E108:E109"/>
    <mergeCell ref="F108:F109"/>
    <mergeCell ref="A12:G12"/>
    <mergeCell ref="A4:G4"/>
    <mergeCell ref="A6:G6"/>
    <mergeCell ref="A7:A8"/>
    <mergeCell ref="B7:C7"/>
    <mergeCell ref="D7:D8"/>
  </mergeCells>
  <pageMargins left="0.19685039370078741" right="0.19685039370078741" top="0.39370078740157483" bottom="0.98425196850393704" header="0.51181102362204722" footer="0.51181102362204722"/>
  <pageSetup paperSize="9" scale="85" orientation="portrait" r:id="rId1"/>
  <headerFooter alignWithMargins="0"/>
  <rowBreaks count="1" manualBreakCount="1">
    <brk id="52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view="pageBreakPreview" zoomScale="112" zoomScaleNormal="100" zoomScaleSheetLayoutView="112" workbookViewId="0">
      <selection activeCell="A2" sqref="A2:G3"/>
    </sheetView>
  </sheetViews>
  <sheetFormatPr defaultRowHeight="18" x14ac:dyDescent="0.35"/>
  <cols>
    <col min="1" max="1" width="34.85546875" style="73" bestFit="1" customWidth="1"/>
    <col min="2" max="2" width="12" style="24" customWidth="1"/>
    <col min="3" max="3" width="12.5703125" style="24" customWidth="1"/>
    <col min="4" max="4" width="12.28515625" style="24" customWidth="1"/>
    <col min="5" max="5" width="11.28515625" style="24" customWidth="1"/>
    <col min="6" max="6" width="16.140625" style="24" customWidth="1"/>
    <col min="7" max="7" width="20.42578125" style="24" customWidth="1"/>
    <col min="8" max="237" width="9.140625" style="12"/>
    <col min="238" max="238" width="34.85546875" style="12" bestFit="1" customWidth="1"/>
    <col min="239" max="239" width="12" style="12" customWidth="1"/>
    <col min="240" max="240" width="12.5703125" style="12" customWidth="1"/>
    <col min="241" max="241" width="12.28515625" style="12" customWidth="1"/>
    <col min="242" max="242" width="11.28515625" style="12" customWidth="1"/>
    <col min="243" max="243" width="16.140625" style="12" customWidth="1"/>
    <col min="244" max="244" width="20.42578125" style="12" customWidth="1"/>
    <col min="245" max="246" width="9.140625" style="12"/>
    <col min="247" max="247" width="21.7109375" style="12" customWidth="1"/>
    <col min="248" max="493" width="9.140625" style="12"/>
    <col min="494" max="494" width="34.85546875" style="12" bestFit="1" customWidth="1"/>
    <col min="495" max="495" width="12" style="12" customWidth="1"/>
    <col min="496" max="496" width="12.5703125" style="12" customWidth="1"/>
    <col min="497" max="497" width="12.28515625" style="12" customWidth="1"/>
    <col min="498" max="498" width="11.28515625" style="12" customWidth="1"/>
    <col min="499" max="499" width="16.140625" style="12" customWidth="1"/>
    <col min="500" max="500" width="20.42578125" style="12" customWidth="1"/>
    <col min="501" max="502" width="9.140625" style="12"/>
    <col min="503" max="503" width="21.7109375" style="12" customWidth="1"/>
    <col min="504" max="749" width="9.140625" style="12"/>
    <col min="750" max="750" width="34.85546875" style="12" bestFit="1" customWidth="1"/>
    <col min="751" max="751" width="12" style="12" customWidth="1"/>
    <col min="752" max="752" width="12.5703125" style="12" customWidth="1"/>
    <col min="753" max="753" width="12.28515625" style="12" customWidth="1"/>
    <col min="754" max="754" width="11.28515625" style="12" customWidth="1"/>
    <col min="755" max="755" width="16.140625" style="12" customWidth="1"/>
    <col min="756" max="756" width="20.42578125" style="12" customWidth="1"/>
    <col min="757" max="758" width="9.140625" style="12"/>
    <col min="759" max="759" width="21.7109375" style="12" customWidth="1"/>
    <col min="760" max="1005" width="9.140625" style="12"/>
    <col min="1006" max="1006" width="34.85546875" style="12" bestFit="1" customWidth="1"/>
    <col min="1007" max="1007" width="12" style="12" customWidth="1"/>
    <col min="1008" max="1008" width="12.5703125" style="12" customWidth="1"/>
    <col min="1009" max="1009" width="12.28515625" style="12" customWidth="1"/>
    <col min="1010" max="1010" width="11.28515625" style="12" customWidth="1"/>
    <col min="1011" max="1011" width="16.140625" style="12" customWidth="1"/>
    <col min="1012" max="1012" width="20.42578125" style="12" customWidth="1"/>
    <col min="1013" max="1014" width="9.140625" style="12"/>
    <col min="1015" max="1015" width="21.7109375" style="12" customWidth="1"/>
    <col min="1016" max="1261" width="9.140625" style="12"/>
    <col min="1262" max="1262" width="34.85546875" style="12" bestFit="1" customWidth="1"/>
    <col min="1263" max="1263" width="12" style="12" customWidth="1"/>
    <col min="1264" max="1264" width="12.5703125" style="12" customWidth="1"/>
    <col min="1265" max="1265" width="12.28515625" style="12" customWidth="1"/>
    <col min="1266" max="1266" width="11.28515625" style="12" customWidth="1"/>
    <col min="1267" max="1267" width="16.140625" style="12" customWidth="1"/>
    <col min="1268" max="1268" width="20.42578125" style="12" customWidth="1"/>
    <col min="1269" max="1270" width="9.140625" style="12"/>
    <col min="1271" max="1271" width="21.7109375" style="12" customWidth="1"/>
    <col min="1272" max="1517" width="9.140625" style="12"/>
    <col min="1518" max="1518" width="34.85546875" style="12" bestFit="1" customWidth="1"/>
    <col min="1519" max="1519" width="12" style="12" customWidth="1"/>
    <col min="1520" max="1520" width="12.5703125" style="12" customWidth="1"/>
    <col min="1521" max="1521" width="12.28515625" style="12" customWidth="1"/>
    <col min="1522" max="1522" width="11.28515625" style="12" customWidth="1"/>
    <col min="1523" max="1523" width="16.140625" style="12" customWidth="1"/>
    <col min="1524" max="1524" width="20.42578125" style="12" customWidth="1"/>
    <col min="1525" max="1526" width="9.140625" style="12"/>
    <col min="1527" max="1527" width="21.7109375" style="12" customWidth="1"/>
    <col min="1528" max="1773" width="9.140625" style="12"/>
    <col min="1774" max="1774" width="34.85546875" style="12" bestFit="1" customWidth="1"/>
    <col min="1775" max="1775" width="12" style="12" customWidth="1"/>
    <col min="1776" max="1776" width="12.5703125" style="12" customWidth="1"/>
    <col min="1777" max="1777" width="12.28515625" style="12" customWidth="1"/>
    <col min="1778" max="1778" width="11.28515625" style="12" customWidth="1"/>
    <col min="1779" max="1779" width="16.140625" style="12" customWidth="1"/>
    <col min="1780" max="1780" width="20.42578125" style="12" customWidth="1"/>
    <col min="1781" max="1782" width="9.140625" style="12"/>
    <col min="1783" max="1783" width="21.7109375" style="12" customWidth="1"/>
    <col min="1784" max="2029" width="9.140625" style="12"/>
    <col min="2030" max="2030" width="34.85546875" style="12" bestFit="1" customWidth="1"/>
    <col min="2031" max="2031" width="12" style="12" customWidth="1"/>
    <col min="2032" max="2032" width="12.5703125" style="12" customWidth="1"/>
    <col min="2033" max="2033" width="12.28515625" style="12" customWidth="1"/>
    <col min="2034" max="2034" width="11.28515625" style="12" customWidth="1"/>
    <col min="2035" max="2035" width="16.140625" style="12" customWidth="1"/>
    <col min="2036" max="2036" width="20.42578125" style="12" customWidth="1"/>
    <col min="2037" max="2038" width="9.140625" style="12"/>
    <col min="2039" max="2039" width="21.7109375" style="12" customWidth="1"/>
    <col min="2040" max="2285" width="9.140625" style="12"/>
    <col min="2286" max="2286" width="34.85546875" style="12" bestFit="1" customWidth="1"/>
    <col min="2287" max="2287" width="12" style="12" customWidth="1"/>
    <col min="2288" max="2288" width="12.5703125" style="12" customWidth="1"/>
    <col min="2289" max="2289" width="12.28515625" style="12" customWidth="1"/>
    <col min="2290" max="2290" width="11.28515625" style="12" customWidth="1"/>
    <col min="2291" max="2291" width="16.140625" style="12" customWidth="1"/>
    <col min="2292" max="2292" width="20.42578125" style="12" customWidth="1"/>
    <col min="2293" max="2294" width="9.140625" style="12"/>
    <col min="2295" max="2295" width="21.7109375" style="12" customWidth="1"/>
    <col min="2296" max="2541" width="9.140625" style="12"/>
    <col min="2542" max="2542" width="34.85546875" style="12" bestFit="1" customWidth="1"/>
    <col min="2543" max="2543" width="12" style="12" customWidth="1"/>
    <col min="2544" max="2544" width="12.5703125" style="12" customWidth="1"/>
    <col min="2545" max="2545" width="12.28515625" style="12" customWidth="1"/>
    <col min="2546" max="2546" width="11.28515625" style="12" customWidth="1"/>
    <col min="2547" max="2547" width="16.140625" style="12" customWidth="1"/>
    <col min="2548" max="2548" width="20.42578125" style="12" customWidth="1"/>
    <col min="2549" max="2550" width="9.140625" style="12"/>
    <col min="2551" max="2551" width="21.7109375" style="12" customWidth="1"/>
    <col min="2552" max="2797" width="9.140625" style="12"/>
    <col min="2798" max="2798" width="34.85546875" style="12" bestFit="1" customWidth="1"/>
    <col min="2799" max="2799" width="12" style="12" customWidth="1"/>
    <col min="2800" max="2800" width="12.5703125" style="12" customWidth="1"/>
    <col min="2801" max="2801" width="12.28515625" style="12" customWidth="1"/>
    <col min="2802" max="2802" width="11.28515625" style="12" customWidth="1"/>
    <col min="2803" max="2803" width="16.140625" style="12" customWidth="1"/>
    <col min="2804" max="2804" width="20.42578125" style="12" customWidth="1"/>
    <col min="2805" max="2806" width="9.140625" style="12"/>
    <col min="2807" max="2807" width="21.7109375" style="12" customWidth="1"/>
    <col min="2808" max="3053" width="9.140625" style="12"/>
    <col min="3054" max="3054" width="34.85546875" style="12" bestFit="1" customWidth="1"/>
    <col min="3055" max="3055" width="12" style="12" customWidth="1"/>
    <col min="3056" max="3056" width="12.5703125" style="12" customWidth="1"/>
    <col min="3057" max="3057" width="12.28515625" style="12" customWidth="1"/>
    <col min="3058" max="3058" width="11.28515625" style="12" customWidth="1"/>
    <col min="3059" max="3059" width="16.140625" style="12" customWidth="1"/>
    <col min="3060" max="3060" width="20.42578125" style="12" customWidth="1"/>
    <col min="3061" max="3062" width="9.140625" style="12"/>
    <col min="3063" max="3063" width="21.7109375" style="12" customWidth="1"/>
    <col min="3064" max="3309" width="9.140625" style="12"/>
    <col min="3310" max="3310" width="34.85546875" style="12" bestFit="1" customWidth="1"/>
    <col min="3311" max="3311" width="12" style="12" customWidth="1"/>
    <col min="3312" max="3312" width="12.5703125" style="12" customWidth="1"/>
    <col min="3313" max="3313" width="12.28515625" style="12" customWidth="1"/>
    <col min="3314" max="3314" width="11.28515625" style="12" customWidth="1"/>
    <col min="3315" max="3315" width="16.140625" style="12" customWidth="1"/>
    <col min="3316" max="3316" width="20.42578125" style="12" customWidth="1"/>
    <col min="3317" max="3318" width="9.140625" style="12"/>
    <col min="3319" max="3319" width="21.7109375" style="12" customWidth="1"/>
    <col min="3320" max="3565" width="9.140625" style="12"/>
    <col min="3566" max="3566" width="34.85546875" style="12" bestFit="1" customWidth="1"/>
    <col min="3567" max="3567" width="12" style="12" customWidth="1"/>
    <col min="3568" max="3568" width="12.5703125" style="12" customWidth="1"/>
    <col min="3569" max="3569" width="12.28515625" style="12" customWidth="1"/>
    <col min="3570" max="3570" width="11.28515625" style="12" customWidth="1"/>
    <col min="3571" max="3571" width="16.140625" style="12" customWidth="1"/>
    <col min="3572" max="3572" width="20.42578125" style="12" customWidth="1"/>
    <col min="3573" max="3574" width="9.140625" style="12"/>
    <col min="3575" max="3575" width="21.7109375" style="12" customWidth="1"/>
    <col min="3576" max="3821" width="9.140625" style="12"/>
    <col min="3822" max="3822" width="34.85546875" style="12" bestFit="1" customWidth="1"/>
    <col min="3823" max="3823" width="12" style="12" customWidth="1"/>
    <col min="3824" max="3824" width="12.5703125" style="12" customWidth="1"/>
    <col min="3825" max="3825" width="12.28515625" style="12" customWidth="1"/>
    <col min="3826" max="3826" width="11.28515625" style="12" customWidth="1"/>
    <col min="3827" max="3827" width="16.140625" style="12" customWidth="1"/>
    <col min="3828" max="3828" width="20.42578125" style="12" customWidth="1"/>
    <col min="3829" max="3830" width="9.140625" style="12"/>
    <col min="3831" max="3831" width="21.7109375" style="12" customWidth="1"/>
    <col min="3832" max="4077" width="9.140625" style="12"/>
    <col min="4078" max="4078" width="34.85546875" style="12" bestFit="1" customWidth="1"/>
    <col min="4079" max="4079" width="12" style="12" customWidth="1"/>
    <col min="4080" max="4080" width="12.5703125" style="12" customWidth="1"/>
    <col min="4081" max="4081" width="12.28515625" style="12" customWidth="1"/>
    <col min="4082" max="4082" width="11.28515625" style="12" customWidth="1"/>
    <col min="4083" max="4083" width="16.140625" style="12" customWidth="1"/>
    <col min="4084" max="4084" width="20.42578125" style="12" customWidth="1"/>
    <col min="4085" max="4086" width="9.140625" style="12"/>
    <col min="4087" max="4087" width="21.7109375" style="12" customWidth="1"/>
    <col min="4088" max="4333" width="9.140625" style="12"/>
    <col min="4334" max="4334" width="34.85546875" style="12" bestFit="1" customWidth="1"/>
    <col min="4335" max="4335" width="12" style="12" customWidth="1"/>
    <col min="4336" max="4336" width="12.5703125" style="12" customWidth="1"/>
    <col min="4337" max="4337" width="12.28515625" style="12" customWidth="1"/>
    <col min="4338" max="4338" width="11.28515625" style="12" customWidth="1"/>
    <col min="4339" max="4339" width="16.140625" style="12" customWidth="1"/>
    <col min="4340" max="4340" width="20.42578125" style="12" customWidth="1"/>
    <col min="4341" max="4342" width="9.140625" style="12"/>
    <col min="4343" max="4343" width="21.7109375" style="12" customWidth="1"/>
    <col min="4344" max="4589" width="9.140625" style="12"/>
    <col min="4590" max="4590" width="34.85546875" style="12" bestFit="1" customWidth="1"/>
    <col min="4591" max="4591" width="12" style="12" customWidth="1"/>
    <col min="4592" max="4592" width="12.5703125" style="12" customWidth="1"/>
    <col min="4593" max="4593" width="12.28515625" style="12" customWidth="1"/>
    <col min="4594" max="4594" width="11.28515625" style="12" customWidth="1"/>
    <col min="4595" max="4595" width="16.140625" style="12" customWidth="1"/>
    <col min="4596" max="4596" width="20.42578125" style="12" customWidth="1"/>
    <col min="4597" max="4598" width="9.140625" style="12"/>
    <col min="4599" max="4599" width="21.7109375" style="12" customWidth="1"/>
    <col min="4600" max="4845" width="9.140625" style="12"/>
    <col min="4846" max="4846" width="34.85546875" style="12" bestFit="1" customWidth="1"/>
    <col min="4847" max="4847" width="12" style="12" customWidth="1"/>
    <col min="4848" max="4848" width="12.5703125" style="12" customWidth="1"/>
    <col min="4849" max="4849" width="12.28515625" style="12" customWidth="1"/>
    <col min="4850" max="4850" width="11.28515625" style="12" customWidth="1"/>
    <col min="4851" max="4851" width="16.140625" style="12" customWidth="1"/>
    <col min="4852" max="4852" width="20.42578125" style="12" customWidth="1"/>
    <col min="4853" max="4854" width="9.140625" style="12"/>
    <col min="4855" max="4855" width="21.7109375" style="12" customWidth="1"/>
    <col min="4856" max="5101" width="9.140625" style="12"/>
    <col min="5102" max="5102" width="34.85546875" style="12" bestFit="1" customWidth="1"/>
    <col min="5103" max="5103" width="12" style="12" customWidth="1"/>
    <col min="5104" max="5104" width="12.5703125" style="12" customWidth="1"/>
    <col min="5105" max="5105" width="12.28515625" style="12" customWidth="1"/>
    <col min="5106" max="5106" width="11.28515625" style="12" customWidth="1"/>
    <col min="5107" max="5107" width="16.140625" style="12" customWidth="1"/>
    <col min="5108" max="5108" width="20.42578125" style="12" customWidth="1"/>
    <col min="5109" max="5110" width="9.140625" style="12"/>
    <col min="5111" max="5111" width="21.7109375" style="12" customWidth="1"/>
    <col min="5112" max="5357" width="9.140625" style="12"/>
    <col min="5358" max="5358" width="34.85546875" style="12" bestFit="1" customWidth="1"/>
    <col min="5359" max="5359" width="12" style="12" customWidth="1"/>
    <col min="5360" max="5360" width="12.5703125" style="12" customWidth="1"/>
    <col min="5361" max="5361" width="12.28515625" style="12" customWidth="1"/>
    <col min="5362" max="5362" width="11.28515625" style="12" customWidth="1"/>
    <col min="5363" max="5363" width="16.140625" style="12" customWidth="1"/>
    <col min="5364" max="5364" width="20.42578125" style="12" customWidth="1"/>
    <col min="5365" max="5366" width="9.140625" style="12"/>
    <col min="5367" max="5367" width="21.7109375" style="12" customWidth="1"/>
    <col min="5368" max="5613" width="9.140625" style="12"/>
    <col min="5614" max="5614" width="34.85546875" style="12" bestFit="1" customWidth="1"/>
    <col min="5615" max="5615" width="12" style="12" customWidth="1"/>
    <col min="5616" max="5616" width="12.5703125" style="12" customWidth="1"/>
    <col min="5617" max="5617" width="12.28515625" style="12" customWidth="1"/>
    <col min="5618" max="5618" width="11.28515625" style="12" customWidth="1"/>
    <col min="5619" max="5619" width="16.140625" style="12" customWidth="1"/>
    <col min="5620" max="5620" width="20.42578125" style="12" customWidth="1"/>
    <col min="5621" max="5622" width="9.140625" style="12"/>
    <col min="5623" max="5623" width="21.7109375" style="12" customWidth="1"/>
    <col min="5624" max="5869" width="9.140625" style="12"/>
    <col min="5870" max="5870" width="34.85546875" style="12" bestFit="1" customWidth="1"/>
    <col min="5871" max="5871" width="12" style="12" customWidth="1"/>
    <col min="5872" max="5872" width="12.5703125" style="12" customWidth="1"/>
    <col min="5873" max="5873" width="12.28515625" style="12" customWidth="1"/>
    <col min="5874" max="5874" width="11.28515625" style="12" customWidth="1"/>
    <col min="5875" max="5875" width="16.140625" style="12" customWidth="1"/>
    <col min="5876" max="5876" width="20.42578125" style="12" customWidth="1"/>
    <col min="5877" max="5878" width="9.140625" style="12"/>
    <col min="5879" max="5879" width="21.7109375" style="12" customWidth="1"/>
    <col min="5880" max="6125" width="9.140625" style="12"/>
    <col min="6126" max="6126" width="34.85546875" style="12" bestFit="1" customWidth="1"/>
    <col min="6127" max="6127" width="12" style="12" customWidth="1"/>
    <col min="6128" max="6128" width="12.5703125" style="12" customWidth="1"/>
    <col min="6129" max="6129" width="12.28515625" style="12" customWidth="1"/>
    <col min="6130" max="6130" width="11.28515625" style="12" customWidth="1"/>
    <col min="6131" max="6131" width="16.140625" style="12" customWidth="1"/>
    <col min="6132" max="6132" width="20.42578125" style="12" customWidth="1"/>
    <col min="6133" max="6134" width="9.140625" style="12"/>
    <col min="6135" max="6135" width="21.7109375" style="12" customWidth="1"/>
    <col min="6136" max="6381" width="9.140625" style="12"/>
    <col min="6382" max="6382" width="34.85546875" style="12" bestFit="1" customWidth="1"/>
    <col min="6383" max="6383" width="12" style="12" customWidth="1"/>
    <col min="6384" max="6384" width="12.5703125" style="12" customWidth="1"/>
    <col min="6385" max="6385" width="12.28515625" style="12" customWidth="1"/>
    <col min="6386" max="6386" width="11.28515625" style="12" customWidth="1"/>
    <col min="6387" max="6387" width="16.140625" style="12" customWidth="1"/>
    <col min="6388" max="6388" width="20.42578125" style="12" customWidth="1"/>
    <col min="6389" max="6390" width="9.140625" style="12"/>
    <col min="6391" max="6391" width="21.7109375" style="12" customWidth="1"/>
    <col min="6392" max="6637" width="9.140625" style="12"/>
    <col min="6638" max="6638" width="34.85546875" style="12" bestFit="1" customWidth="1"/>
    <col min="6639" max="6639" width="12" style="12" customWidth="1"/>
    <col min="6640" max="6640" width="12.5703125" style="12" customWidth="1"/>
    <col min="6641" max="6641" width="12.28515625" style="12" customWidth="1"/>
    <col min="6642" max="6642" width="11.28515625" style="12" customWidth="1"/>
    <col min="6643" max="6643" width="16.140625" style="12" customWidth="1"/>
    <col min="6644" max="6644" width="20.42578125" style="12" customWidth="1"/>
    <col min="6645" max="6646" width="9.140625" style="12"/>
    <col min="6647" max="6647" width="21.7109375" style="12" customWidth="1"/>
    <col min="6648" max="6893" width="9.140625" style="12"/>
    <col min="6894" max="6894" width="34.85546875" style="12" bestFit="1" customWidth="1"/>
    <col min="6895" max="6895" width="12" style="12" customWidth="1"/>
    <col min="6896" max="6896" width="12.5703125" style="12" customWidth="1"/>
    <col min="6897" max="6897" width="12.28515625" style="12" customWidth="1"/>
    <col min="6898" max="6898" width="11.28515625" style="12" customWidth="1"/>
    <col min="6899" max="6899" width="16.140625" style="12" customWidth="1"/>
    <col min="6900" max="6900" width="20.42578125" style="12" customWidth="1"/>
    <col min="6901" max="6902" width="9.140625" style="12"/>
    <col min="6903" max="6903" width="21.7109375" style="12" customWidth="1"/>
    <col min="6904" max="7149" width="9.140625" style="12"/>
    <col min="7150" max="7150" width="34.85546875" style="12" bestFit="1" customWidth="1"/>
    <col min="7151" max="7151" width="12" style="12" customWidth="1"/>
    <col min="7152" max="7152" width="12.5703125" style="12" customWidth="1"/>
    <col min="7153" max="7153" width="12.28515625" style="12" customWidth="1"/>
    <col min="7154" max="7154" width="11.28515625" style="12" customWidth="1"/>
    <col min="7155" max="7155" width="16.140625" style="12" customWidth="1"/>
    <col min="7156" max="7156" width="20.42578125" style="12" customWidth="1"/>
    <col min="7157" max="7158" width="9.140625" style="12"/>
    <col min="7159" max="7159" width="21.7109375" style="12" customWidth="1"/>
    <col min="7160" max="7405" width="9.140625" style="12"/>
    <col min="7406" max="7406" width="34.85546875" style="12" bestFit="1" customWidth="1"/>
    <col min="7407" max="7407" width="12" style="12" customWidth="1"/>
    <col min="7408" max="7408" width="12.5703125" style="12" customWidth="1"/>
    <col min="7409" max="7409" width="12.28515625" style="12" customWidth="1"/>
    <col min="7410" max="7410" width="11.28515625" style="12" customWidth="1"/>
    <col min="7411" max="7411" width="16.140625" style="12" customWidth="1"/>
    <col min="7412" max="7412" width="20.42578125" style="12" customWidth="1"/>
    <col min="7413" max="7414" width="9.140625" style="12"/>
    <col min="7415" max="7415" width="21.7109375" style="12" customWidth="1"/>
    <col min="7416" max="7661" width="9.140625" style="12"/>
    <col min="7662" max="7662" width="34.85546875" style="12" bestFit="1" customWidth="1"/>
    <col min="7663" max="7663" width="12" style="12" customWidth="1"/>
    <col min="7664" max="7664" width="12.5703125" style="12" customWidth="1"/>
    <col min="7665" max="7665" width="12.28515625" style="12" customWidth="1"/>
    <col min="7666" max="7666" width="11.28515625" style="12" customWidth="1"/>
    <col min="7667" max="7667" width="16.140625" style="12" customWidth="1"/>
    <col min="7668" max="7668" width="20.42578125" style="12" customWidth="1"/>
    <col min="7669" max="7670" width="9.140625" style="12"/>
    <col min="7671" max="7671" width="21.7109375" style="12" customWidth="1"/>
    <col min="7672" max="7917" width="9.140625" style="12"/>
    <col min="7918" max="7918" width="34.85546875" style="12" bestFit="1" customWidth="1"/>
    <col min="7919" max="7919" width="12" style="12" customWidth="1"/>
    <col min="7920" max="7920" width="12.5703125" style="12" customWidth="1"/>
    <col min="7921" max="7921" width="12.28515625" style="12" customWidth="1"/>
    <col min="7922" max="7922" width="11.28515625" style="12" customWidth="1"/>
    <col min="7923" max="7923" width="16.140625" style="12" customWidth="1"/>
    <col min="7924" max="7924" width="20.42578125" style="12" customWidth="1"/>
    <col min="7925" max="7926" width="9.140625" style="12"/>
    <col min="7927" max="7927" width="21.7109375" style="12" customWidth="1"/>
    <col min="7928" max="8173" width="9.140625" style="12"/>
    <col min="8174" max="8174" width="34.85546875" style="12" bestFit="1" customWidth="1"/>
    <col min="8175" max="8175" width="12" style="12" customWidth="1"/>
    <col min="8176" max="8176" width="12.5703125" style="12" customWidth="1"/>
    <col min="8177" max="8177" width="12.28515625" style="12" customWidth="1"/>
    <col min="8178" max="8178" width="11.28515625" style="12" customWidth="1"/>
    <col min="8179" max="8179" width="16.140625" style="12" customWidth="1"/>
    <col min="8180" max="8180" width="20.42578125" style="12" customWidth="1"/>
    <col min="8181" max="8182" width="9.140625" style="12"/>
    <col min="8183" max="8183" width="21.7109375" style="12" customWidth="1"/>
    <col min="8184" max="8429" width="9.140625" style="12"/>
    <col min="8430" max="8430" width="34.85546875" style="12" bestFit="1" customWidth="1"/>
    <col min="8431" max="8431" width="12" style="12" customWidth="1"/>
    <col min="8432" max="8432" width="12.5703125" style="12" customWidth="1"/>
    <col min="8433" max="8433" width="12.28515625" style="12" customWidth="1"/>
    <col min="8434" max="8434" width="11.28515625" style="12" customWidth="1"/>
    <col min="8435" max="8435" width="16.140625" style="12" customWidth="1"/>
    <col min="8436" max="8436" width="20.42578125" style="12" customWidth="1"/>
    <col min="8437" max="8438" width="9.140625" style="12"/>
    <col min="8439" max="8439" width="21.7109375" style="12" customWidth="1"/>
    <col min="8440" max="8685" width="9.140625" style="12"/>
    <col min="8686" max="8686" width="34.85546875" style="12" bestFit="1" customWidth="1"/>
    <col min="8687" max="8687" width="12" style="12" customWidth="1"/>
    <col min="8688" max="8688" width="12.5703125" style="12" customWidth="1"/>
    <col min="8689" max="8689" width="12.28515625" style="12" customWidth="1"/>
    <col min="8690" max="8690" width="11.28515625" style="12" customWidth="1"/>
    <col min="8691" max="8691" width="16.140625" style="12" customWidth="1"/>
    <col min="8692" max="8692" width="20.42578125" style="12" customWidth="1"/>
    <col min="8693" max="8694" width="9.140625" style="12"/>
    <col min="8695" max="8695" width="21.7109375" style="12" customWidth="1"/>
    <col min="8696" max="8941" width="9.140625" style="12"/>
    <col min="8942" max="8942" width="34.85546875" style="12" bestFit="1" customWidth="1"/>
    <col min="8943" max="8943" width="12" style="12" customWidth="1"/>
    <col min="8944" max="8944" width="12.5703125" style="12" customWidth="1"/>
    <col min="8945" max="8945" width="12.28515625" style="12" customWidth="1"/>
    <col min="8946" max="8946" width="11.28515625" style="12" customWidth="1"/>
    <col min="8947" max="8947" width="16.140625" style="12" customWidth="1"/>
    <col min="8948" max="8948" width="20.42578125" style="12" customWidth="1"/>
    <col min="8949" max="8950" width="9.140625" style="12"/>
    <col min="8951" max="8951" width="21.7109375" style="12" customWidth="1"/>
    <col min="8952" max="9197" width="9.140625" style="12"/>
    <col min="9198" max="9198" width="34.85546875" style="12" bestFit="1" customWidth="1"/>
    <col min="9199" max="9199" width="12" style="12" customWidth="1"/>
    <col min="9200" max="9200" width="12.5703125" style="12" customWidth="1"/>
    <col min="9201" max="9201" width="12.28515625" style="12" customWidth="1"/>
    <col min="9202" max="9202" width="11.28515625" style="12" customWidth="1"/>
    <col min="9203" max="9203" width="16.140625" style="12" customWidth="1"/>
    <col min="9204" max="9204" width="20.42578125" style="12" customWidth="1"/>
    <col min="9205" max="9206" width="9.140625" style="12"/>
    <col min="9207" max="9207" width="21.7109375" style="12" customWidth="1"/>
    <col min="9208" max="9453" width="9.140625" style="12"/>
    <col min="9454" max="9454" width="34.85546875" style="12" bestFit="1" customWidth="1"/>
    <col min="9455" max="9455" width="12" style="12" customWidth="1"/>
    <col min="9456" max="9456" width="12.5703125" style="12" customWidth="1"/>
    <col min="9457" max="9457" width="12.28515625" style="12" customWidth="1"/>
    <col min="9458" max="9458" width="11.28515625" style="12" customWidth="1"/>
    <col min="9459" max="9459" width="16.140625" style="12" customWidth="1"/>
    <col min="9460" max="9460" width="20.42578125" style="12" customWidth="1"/>
    <col min="9461" max="9462" width="9.140625" style="12"/>
    <col min="9463" max="9463" width="21.7109375" style="12" customWidth="1"/>
    <col min="9464" max="9709" width="9.140625" style="12"/>
    <col min="9710" max="9710" width="34.85546875" style="12" bestFit="1" customWidth="1"/>
    <col min="9711" max="9711" width="12" style="12" customWidth="1"/>
    <col min="9712" max="9712" width="12.5703125" style="12" customWidth="1"/>
    <col min="9713" max="9713" width="12.28515625" style="12" customWidth="1"/>
    <col min="9714" max="9714" width="11.28515625" style="12" customWidth="1"/>
    <col min="9715" max="9715" width="16.140625" style="12" customWidth="1"/>
    <col min="9716" max="9716" width="20.42578125" style="12" customWidth="1"/>
    <col min="9717" max="9718" width="9.140625" style="12"/>
    <col min="9719" max="9719" width="21.7109375" style="12" customWidth="1"/>
    <col min="9720" max="9965" width="9.140625" style="12"/>
    <col min="9966" max="9966" width="34.85546875" style="12" bestFit="1" customWidth="1"/>
    <col min="9967" max="9967" width="12" style="12" customWidth="1"/>
    <col min="9968" max="9968" width="12.5703125" style="12" customWidth="1"/>
    <col min="9969" max="9969" width="12.28515625" style="12" customWidth="1"/>
    <col min="9970" max="9970" width="11.28515625" style="12" customWidth="1"/>
    <col min="9971" max="9971" width="16.140625" style="12" customWidth="1"/>
    <col min="9972" max="9972" width="20.42578125" style="12" customWidth="1"/>
    <col min="9973" max="9974" width="9.140625" style="12"/>
    <col min="9975" max="9975" width="21.7109375" style="12" customWidth="1"/>
    <col min="9976" max="10221" width="9.140625" style="12"/>
    <col min="10222" max="10222" width="34.85546875" style="12" bestFit="1" customWidth="1"/>
    <col min="10223" max="10223" width="12" style="12" customWidth="1"/>
    <col min="10224" max="10224" width="12.5703125" style="12" customWidth="1"/>
    <col min="10225" max="10225" width="12.28515625" style="12" customWidth="1"/>
    <col min="10226" max="10226" width="11.28515625" style="12" customWidth="1"/>
    <col min="10227" max="10227" width="16.140625" style="12" customWidth="1"/>
    <col min="10228" max="10228" width="20.42578125" style="12" customWidth="1"/>
    <col min="10229" max="10230" width="9.140625" style="12"/>
    <col min="10231" max="10231" width="21.7109375" style="12" customWidth="1"/>
    <col min="10232" max="10477" width="9.140625" style="12"/>
    <col min="10478" max="10478" width="34.85546875" style="12" bestFit="1" customWidth="1"/>
    <col min="10479" max="10479" width="12" style="12" customWidth="1"/>
    <col min="10480" max="10480" width="12.5703125" style="12" customWidth="1"/>
    <col min="10481" max="10481" width="12.28515625" style="12" customWidth="1"/>
    <col min="10482" max="10482" width="11.28515625" style="12" customWidth="1"/>
    <col min="10483" max="10483" width="16.140625" style="12" customWidth="1"/>
    <col min="10484" max="10484" width="20.42578125" style="12" customWidth="1"/>
    <col min="10485" max="10486" width="9.140625" style="12"/>
    <col min="10487" max="10487" width="21.7109375" style="12" customWidth="1"/>
    <col min="10488" max="10733" width="9.140625" style="12"/>
    <col min="10734" max="10734" width="34.85546875" style="12" bestFit="1" customWidth="1"/>
    <col min="10735" max="10735" width="12" style="12" customWidth="1"/>
    <col min="10736" max="10736" width="12.5703125" style="12" customWidth="1"/>
    <col min="10737" max="10737" width="12.28515625" style="12" customWidth="1"/>
    <col min="10738" max="10738" width="11.28515625" style="12" customWidth="1"/>
    <col min="10739" max="10739" width="16.140625" style="12" customWidth="1"/>
    <col min="10740" max="10740" width="20.42578125" style="12" customWidth="1"/>
    <col min="10741" max="10742" width="9.140625" style="12"/>
    <col min="10743" max="10743" width="21.7109375" style="12" customWidth="1"/>
    <col min="10744" max="10989" width="9.140625" style="12"/>
    <col min="10990" max="10990" width="34.85546875" style="12" bestFit="1" customWidth="1"/>
    <col min="10991" max="10991" width="12" style="12" customWidth="1"/>
    <col min="10992" max="10992" width="12.5703125" style="12" customWidth="1"/>
    <col min="10993" max="10993" width="12.28515625" style="12" customWidth="1"/>
    <col min="10994" max="10994" width="11.28515625" style="12" customWidth="1"/>
    <col min="10995" max="10995" width="16.140625" style="12" customWidth="1"/>
    <col min="10996" max="10996" width="20.42578125" style="12" customWidth="1"/>
    <col min="10997" max="10998" width="9.140625" style="12"/>
    <col min="10999" max="10999" width="21.7109375" style="12" customWidth="1"/>
    <col min="11000" max="11245" width="9.140625" style="12"/>
    <col min="11246" max="11246" width="34.85546875" style="12" bestFit="1" customWidth="1"/>
    <col min="11247" max="11247" width="12" style="12" customWidth="1"/>
    <col min="11248" max="11248" width="12.5703125" style="12" customWidth="1"/>
    <col min="11249" max="11249" width="12.28515625" style="12" customWidth="1"/>
    <col min="11250" max="11250" width="11.28515625" style="12" customWidth="1"/>
    <col min="11251" max="11251" width="16.140625" style="12" customWidth="1"/>
    <col min="11252" max="11252" width="20.42578125" style="12" customWidth="1"/>
    <col min="11253" max="11254" width="9.140625" style="12"/>
    <col min="11255" max="11255" width="21.7109375" style="12" customWidth="1"/>
    <col min="11256" max="11501" width="9.140625" style="12"/>
    <col min="11502" max="11502" width="34.85546875" style="12" bestFit="1" customWidth="1"/>
    <col min="11503" max="11503" width="12" style="12" customWidth="1"/>
    <col min="11504" max="11504" width="12.5703125" style="12" customWidth="1"/>
    <col min="11505" max="11505" width="12.28515625" style="12" customWidth="1"/>
    <col min="11506" max="11506" width="11.28515625" style="12" customWidth="1"/>
    <col min="11507" max="11507" width="16.140625" style="12" customWidth="1"/>
    <col min="11508" max="11508" width="20.42578125" style="12" customWidth="1"/>
    <col min="11509" max="11510" width="9.140625" style="12"/>
    <col min="11511" max="11511" width="21.7109375" style="12" customWidth="1"/>
    <col min="11512" max="11757" width="9.140625" style="12"/>
    <col min="11758" max="11758" width="34.85546875" style="12" bestFit="1" customWidth="1"/>
    <col min="11759" max="11759" width="12" style="12" customWidth="1"/>
    <col min="11760" max="11760" width="12.5703125" style="12" customWidth="1"/>
    <col min="11761" max="11761" width="12.28515625" style="12" customWidth="1"/>
    <col min="11762" max="11762" width="11.28515625" style="12" customWidth="1"/>
    <col min="11763" max="11763" width="16.140625" style="12" customWidth="1"/>
    <col min="11764" max="11764" width="20.42578125" style="12" customWidth="1"/>
    <col min="11765" max="11766" width="9.140625" style="12"/>
    <col min="11767" max="11767" width="21.7109375" style="12" customWidth="1"/>
    <col min="11768" max="12013" width="9.140625" style="12"/>
    <col min="12014" max="12014" width="34.85546875" style="12" bestFit="1" customWidth="1"/>
    <col min="12015" max="12015" width="12" style="12" customWidth="1"/>
    <col min="12016" max="12016" width="12.5703125" style="12" customWidth="1"/>
    <col min="12017" max="12017" width="12.28515625" style="12" customWidth="1"/>
    <col min="12018" max="12018" width="11.28515625" style="12" customWidth="1"/>
    <col min="12019" max="12019" width="16.140625" style="12" customWidth="1"/>
    <col min="12020" max="12020" width="20.42578125" style="12" customWidth="1"/>
    <col min="12021" max="12022" width="9.140625" style="12"/>
    <col min="12023" max="12023" width="21.7109375" style="12" customWidth="1"/>
    <col min="12024" max="12269" width="9.140625" style="12"/>
    <col min="12270" max="12270" width="34.85546875" style="12" bestFit="1" customWidth="1"/>
    <col min="12271" max="12271" width="12" style="12" customWidth="1"/>
    <col min="12272" max="12272" width="12.5703125" style="12" customWidth="1"/>
    <col min="12273" max="12273" width="12.28515625" style="12" customWidth="1"/>
    <col min="12274" max="12274" width="11.28515625" style="12" customWidth="1"/>
    <col min="12275" max="12275" width="16.140625" style="12" customWidth="1"/>
    <col min="12276" max="12276" width="20.42578125" style="12" customWidth="1"/>
    <col min="12277" max="12278" width="9.140625" style="12"/>
    <col min="12279" max="12279" width="21.7109375" style="12" customWidth="1"/>
    <col min="12280" max="12525" width="9.140625" style="12"/>
    <col min="12526" max="12526" width="34.85546875" style="12" bestFit="1" customWidth="1"/>
    <col min="12527" max="12527" width="12" style="12" customWidth="1"/>
    <col min="12528" max="12528" width="12.5703125" style="12" customWidth="1"/>
    <col min="12529" max="12529" width="12.28515625" style="12" customWidth="1"/>
    <col min="12530" max="12530" width="11.28515625" style="12" customWidth="1"/>
    <col min="12531" max="12531" width="16.140625" style="12" customWidth="1"/>
    <col min="12532" max="12532" width="20.42578125" style="12" customWidth="1"/>
    <col min="12533" max="12534" width="9.140625" style="12"/>
    <col min="12535" max="12535" width="21.7109375" style="12" customWidth="1"/>
    <col min="12536" max="12781" width="9.140625" style="12"/>
    <col min="12782" max="12782" width="34.85546875" style="12" bestFit="1" customWidth="1"/>
    <col min="12783" max="12783" width="12" style="12" customWidth="1"/>
    <col min="12784" max="12784" width="12.5703125" style="12" customWidth="1"/>
    <col min="12785" max="12785" width="12.28515625" style="12" customWidth="1"/>
    <col min="12786" max="12786" width="11.28515625" style="12" customWidth="1"/>
    <col min="12787" max="12787" width="16.140625" style="12" customWidth="1"/>
    <col min="12788" max="12788" width="20.42578125" style="12" customWidth="1"/>
    <col min="12789" max="12790" width="9.140625" style="12"/>
    <col min="12791" max="12791" width="21.7109375" style="12" customWidth="1"/>
    <col min="12792" max="13037" width="9.140625" style="12"/>
    <col min="13038" max="13038" width="34.85546875" style="12" bestFit="1" customWidth="1"/>
    <col min="13039" max="13039" width="12" style="12" customWidth="1"/>
    <col min="13040" max="13040" width="12.5703125" style="12" customWidth="1"/>
    <col min="13041" max="13041" width="12.28515625" style="12" customWidth="1"/>
    <col min="13042" max="13042" width="11.28515625" style="12" customWidth="1"/>
    <col min="13043" max="13043" width="16.140625" style="12" customWidth="1"/>
    <col min="13044" max="13044" width="20.42578125" style="12" customWidth="1"/>
    <col min="13045" max="13046" width="9.140625" style="12"/>
    <col min="13047" max="13047" width="21.7109375" style="12" customWidth="1"/>
    <col min="13048" max="13293" width="9.140625" style="12"/>
    <col min="13294" max="13294" width="34.85546875" style="12" bestFit="1" customWidth="1"/>
    <col min="13295" max="13295" width="12" style="12" customWidth="1"/>
    <col min="13296" max="13296" width="12.5703125" style="12" customWidth="1"/>
    <col min="13297" max="13297" width="12.28515625" style="12" customWidth="1"/>
    <col min="13298" max="13298" width="11.28515625" style="12" customWidth="1"/>
    <col min="13299" max="13299" width="16.140625" style="12" customWidth="1"/>
    <col min="13300" max="13300" width="20.42578125" style="12" customWidth="1"/>
    <col min="13301" max="13302" width="9.140625" style="12"/>
    <col min="13303" max="13303" width="21.7109375" style="12" customWidth="1"/>
    <col min="13304" max="13549" width="9.140625" style="12"/>
    <col min="13550" max="13550" width="34.85546875" style="12" bestFit="1" customWidth="1"/>
    <col min="13551" max="13551" width="12" style="12" customWidth="1"/>
    <col min="13552" max="13552" width="12.5703125" style="12" customWidth="1"/>
    <col min="13553" max="13553" width="12.28515625" style="12" customWidth="1"/>
    <col min="13554" max="13554" width="11.28515625" style="12" customWidth="1"/>
    <col min="13555" max="13555" width="16.140625" style="12" customWidth="1"/>
    <col min="13556" max="13556" width="20.42578125" style="12" customWidth="1"/>
    <col min="13557" max="13558" width="9.140625" style="12"/>
    <col min="13559" max="13559" width="21.7109375" style="12" customWidth="1"/>
    <col min="13560" max="13805" width="9.140625" style="12"/>
    <col min="13806" max="13806" width="34.85546875" style="12" bestFit="1" customWidth="1"/>
    <col min="13807" max="13807" width="12" style="12" customWidth="1"/>
    <col min="13808" max="13808" width="12.5703125" style="12" customWidth="1"/>
    <col min="13809" max="13809" width="12.28515625" style="12" customWidth="1"/>
    <col min="13810" max="13810" width="11.28515625" style="12" customWidth="1"/>
    <col min="13811" max="13811" width="16.140625" style="12" customWidth="1"/>
    <col min="13812" max="13812" width="20.42578125" style="12" customWidth="1"/>
    <col min="13813" max="13814" width="9.140625" style="12"/>
    <col min="13815" max="13815" width="21.7109375" style="12" customWidth="1"/>
    <col min="13816" max="14061" width="9.140625" style="12"/>
    <col min="14062" max="14062" width="34.85546875" style="12" bestFit="1" customWidth="1"/>
    <col min="14063" max="14063" width="12" style="12" customWidth="1"/>
    <col min="14064" max="14064" width="12.5703125" style="12" customWidth="1"/>
    <col min="14065" max="14065" width="12.28515625" style="12" customWidth="1"/>
    <col min="14066" max="14066" width="11.28515625" style="12" customWidth="1"/>
    <col min="14067" max="14067" width="16.140625" style="12" customWidth="1"/>
    <col min="14068" max="14068" width="20.42578125" style="12" customWidth="1"/>
    <col min="14069" max="14070" width="9.140625" style="12"/>
    <col min="14071" max="14071" width="21.7109375" style="12" customWidth="1"/>
    <col min="14072" max="14317" width="9.140625" style="12"/>
    <col min="14318" max="14318" width="34.85546875" style="12" bestFit="1" customWidth="1"/>
    <col min="14319" max="14319" width="12" style="12" customWidth="1"/>
    <col min="14320" max="14320" width="12.5703125" style="12" customWidth="1"/>
    <col min="14321" max="14321" width="12.28515625" style="12" customWidth="1"/>
    <col min="14322" max="14322" width="11.28515625" style="12" customWidth="1"/>
    <col min="14323" max="14323" width="16.140625" style="12" customWidth="1"/>
    <col min="14324" max="14324" width="20.42578125" style="12" customWidth="1"/>
    <col min="14325" max="14326" width="9.140625" style="12"/>
    <col min="14327" max="14327" width="21.7109375" style="12" customWidth="1"/>
    <col min="14328" max="14573" width="9.140625" style="12"/>
    <col min="14574" max="14574" width="34.85546875" style="12" bestFit="1" customWidth="1"/>
    <col min="14575" max="14575" width="12" style="12" customWidth="1"/>
    <col min="14576" max="14576" width="12.5703125" style="12" customWidth="1"/>
    <col min="14577" max="14577" width="12.28515625" style="12" customWidth="1"/>
    <col min="14578" max="14578" width="11.28515625" style="12" customWidth="1"/>
    <col min="14579" max="14579" width="16.140625" style="12" customWidth="1"/>
    <col min="14580" max="14580" width="20.42578125" style="12" customWidth="1"/>
    <col min="14581" max="14582" width="9.140625" style="12"/>
    <col min="14583" max="14583" width="21.7109375" style="12" customWidth="1"/>
    <col min="14584" max="14829" width="9.140625" style="12"/>
    <col min="14830" max="14830" width="34.85546875" style="12" bestFit="1" customWidth="1"/>
    <col min="14831" max="14831" width="12" style="12" customWidth="1"/>
    <col min="14832" max="14832" width="12.5703125" style="12" customWidth="1"/>
    <col min="14833" max="14833" width="12.28515625" style="12" customWidth="1"/>
    <col min="14834" max="14834" width="11.28515625" style="12" customWidth="1"/>
    <col min="14835" max="14835" width="16.140625" style="12" customWidth="1"/>
    <col min="14836" max="14836" width="20.42578125" style="12" customWidth="1"/>
    <col min="14837" max="14838" width="9.140625" style="12"/>
    <col min="14839" max="14839" width="21.7109375" style="12" customWidth="1"/>
    <col min="14840" max="15085" width="9.140625" style="12"/>
    <col min="15086" max="15086" width="34.85546875" style="12" bestFit="1" customWidth="1"/>
    <col min="15087" max="15087" width="12" style="12" customWidth="1"/>
    <col min="15088" max="15088" width="12.5703125" style="12" customWidth="1"/>
    <col min="15089" max="15089" width="12.28515625" style="12" customWidth="1"/>
    <col min="15090" max="15090" width="11.28515625" style="12" customWidth="1"/>
    <col min="15091" max="15091" width="16.140625" style="12" customWidth="1"/>
    <col min="15092" max="15092" width="20.42578125" style="12" customWidth="1"/>
    <col min="15093" max="15094" width="9.140625" style="12"/>
    <col min="15095" max="15095" width="21.7109375" style="12" customWidth="1"/>
    <col min="15096" max="15341" width="9.140625" style="12"/>
    <col min="15342" max="15342" width="34.85546875" style="12" bestFit="1" customWidth="1"/>
    <col min="15343" max="15343" width="12" style="12" customWidth="1"/>
    <col min="15344" max="15344" width="12.5703125" style="12" customWidth="1"/>
    <col min="15345" max="15345" width="12.28515625" style="12" customWidth="1"/>
    <col min="15346" max="15346" width="11.28515625" style="12" customWidth="1"/>
    <col min="15347" max="15347" width="16.140625" style="12" customWidth="1"/>
    <col min="15348" max="15348" width="20.42578125" style="12" customWidth="1"/>
    <col min="15349" max="15350" width="9.140625" style="12"/>
    <col min="15351" max="15351" width="21.7109375" style="12" customWidth="1"/>
    <col min="15352" max="15597" width="9.140625" style="12"/>
    <col min="15598" max="15598" width="34.85546875" style="12" bestFit="1" customWidth="1"/>
    <col min="15599" max="15599" width="12" style="12" customWidth="1"/>
    <col min="15600" max="15600" width="12.5703125" style="12" customWidth="1"/>
    <col min="15601" max="15601" width="12.28515625" style="12" customWidth="1"/>
    <col min="15602" max="15602" width="11.28515625" style="12" customWidth="1"/>
    <col min="15603" max="15603" width="16.140625" style="12" customWidth="1"/>
    <col min="15604" max="15604" width="20.42578125" style="12" customWidth="1"/>
    <col min="15605" max="15606" width="9.140625" style="12"/>
    <col min="15607" max="15607" width="21.7109375" style="12" customWidth="1"/>
    <col min="15608" max="15853" width="9.140625" style="12"/>
    <col min="15854" max="15854" width="34.85546875" style="12" bestFit="1" customWidth="1"/>
    <col min="15855" max="15855" width="12" style="12" customWidth="1"/>
    <col min="15856" max="15856" width="12.5703125" style="12" customWidth="1"/>
    <col min="15857" max="15857" width="12.28515625" style="12" customWidth="1"/>
    <col min="15858" max="15858" width="11.28515625" style="12" customWidth="1"/>
    <col min="15859" max="15859" width="16.140625" style="12" customWidth="1"/>
    <col min="15860" max="15860" width="20.42578125" style="12" customWidth="1"/>
    <col min="15861" max="15862" width="9.140625" style="12"/>
    <col min="15863" max="15863" width="21.7109375" style="12" customWidth="1"/>
    <col min="15864" max="16109" width="9.140625" style="12"/>
    <col min="16110" max="16110" width="34.85546875" style="12" bestFit="1" customWidth="1"/>
    <col min="16111" max="16111" width="12" style="12" customWidth="1"/>
    <col min="16112" max="16112" width="12.5703125" style="12" customWidth="1"/>
    <col min="16113" max="16113" width="12.28515625" style="12" customWidth="1"/>
    <col min="16114" max="16114" width="11.28515625" style="12" customWidth="1"/>
    <col min="16115" max="16115" width="16.140625" style="12" customWidth="1"/>
    <col min="16116" max="16116" width="20.42578125" style="12" customWidth="1"/>
    <col min="16117" max="16118" width="9.140625" style="12"/>
    <col min="16119" max="16119" width="21.7109375" style="12" customWidth="1"/>
    <col min="16120" max="16384" width="9.140625" style="12"/>
  </cols>
  <sheetData>
    <row r="1" spans="1:7" x14ac:dyDescent="0.35">
      <c r="A1" s="139" t="s">
        <v>135</v>
      </c>
      <c r="B1" s="138"/>
      <c r="C1" s="138"/>
      <c r="D1" s="138"/>
      <c r="E1" s="138"/>
      <c r="F1" s="138"/>
      <c r="G1" s="138"/>
    </row>
    <row r="2" spans="1:7" ht="15" x14ac:dyDescent="0.3">
      <c r="A2" s="108" t="s">
        <v>138</v>
      </c>
      <c r="B2" s="108"/>
      <c r="C2" s="108"/>
      <c r="D2" s="108"/>
      <c r="E2" s="108"/>
      <c r="F2" s="108"/>
      <c r="G2" s="108"/>
    </row>
    <row r="3" spans="1:7" ht="45" customHeight="1" x14ac:dyDescent="0.3">
      <c r="A3" s="108"/>
      <c r="B3" s="108"/>
      <c r="C3" s="108"/>
      <c r="D3" s="108"/>
      <c r="E3" s="108"/>
      <c r="F3" s="108"/>
      <c r="G3" s="108"/>
    </row>
    <row r="4" spans="1:7" x14ac:dyDescent="0.35">
      <c r="A4" s="109" t="s">
        <v>74</v>
      </c>
      <c r="B4" s="109"/>
      <c r="C4" s="109"/>
      <c r="D4" s="109"/>
      <c r="E4" s="109"/>
      <c r="F4" s="109"/>
      <c r="G4" s="109"/>
    </row>
    <row r="5" spans="1:7" x14ac:dyDescent="0.35">
      <c r="A5" s="69" t="s">
        <v>1</v>
      </c>
    </row>
    <row r="6" spans="1:7" ht="24.75" customHeight="1" x14ac:dyDescent="0.3">
      <c r="A6" s="97" t="s">
        <v>132</v>
      </c>
      <c r="B6" s="97"/>
      <c r="C6" s="97"/>
      <c r="D6" s="97"/>
      <c r="E6" s="97"/>
      <c r="F6" s="97"/>
      <c r="G6" s="97"/>
    </row>
    <row r="7" spans="1:7" ht="37.5" customHeight="1" x14ac:dyDescent="0.3">
      <c r="A7" s="98" t="s">
        <v>2</v>
      </c>
      <c r="B7" s="98" t="s">
        <v>3</v>
      </c>
      <c r="C7" s="98"/>
      <c r="D7" s="99" t="s">
        <v>4</v>
      </c>
      <c r="E7" s="99" t="s">
        <v>5</v>
      </c>
      <c r="F7" s="98" t="s">
        <v>6</v>
      </c>
      <c r="G7" s="35" t="s">
        <v>7</v>
      </c>
    </row>
    <row r="8" spans="1:7" x14ac:dyDescent="0.3">
      <c r="A8" s="98"/>
      <c r="B8" s="35" t="s">
        <v>8</v>
      </c>
      <c r="C8" s="35" t="s">
        <v>9</v>
      </c>
      <c r="D8" s="100"/>
      <c r="E8" s="100"/>
      <c r="F8" s="98"/>
      <c r="G8" s="35" t="s">
        <v>10</v>
      </c>
    </row>
    <row r="9" spans="1:7" x14ac:dyDescent="0.3">
      <c r="A9" s="41" t="s">
        <v>26</v>
      </c>
      <c r="B9" s="27">
        <v>40</v>
      </c>
      <c r="C9" s="27">
        <f>B9*100%</f>
        <v>40</v>
      </c>
      <c r="D9" s="27">
        <f>12%*C9</f>
        <v>4.8</v>
      </c>
      <c r="E9" s="27">
        <f>6.2%*C9</f>
        <v>2.48</v>
      </c>
      <c r="F9" s="27">
        <f>62%*C9</f>
        <v>24.8</v>
      </c>
      <c r="G9" s="27">
        <f>4*(D9+F9)+9*E9</f>
        <v>140.72</v>
      </c>
    </row>
    <row r="10" spans="1:7" ht="36" x14ac:dyDescent="0.3">
      <c r="A10" s="70" t="s">
        <v>19</v>
      </c>
      <c r="B10" s="27">
        <v>10</v>
      </c>
      <c r="C10" s="27">
        <f>100%*B10</f>
        <v>10</v>
      </c>
      <c r="D10" s="27"/>
      <c r="E10" s="27">
        <f>72.57%*C10</f>
        <v>7.2569999999999988</v>
      </c>
      <c r="F10" s="27"/>
      <c r="G10" s="27">
        <f>4*(D10+F10)+9*E10</f>
        <v>65.312999999999988</v>
      </c>
    </row>
    <row r="11" spans="1:7" x14ac:dyDescent="0.3">
      <c r="A11" s="71" t="s">
        <v>39</v>
      </c>
      <c r="B11" s="25">
        <v>40</v>
      </c>
      <c r="C11" s="25">
        <f t="shared" ref="C11" si="0">100%*B11</f>
        <v>40</v>
      </c>
      <c r="D11" s="25">
        <f>6.97%*C11</f>
        <v>2.7879999999999998</v>
      </c>
      <c r="E11" s="25">
        <f>8.13%*C11</f>
        <v>3.2520000000000007</v>
      </c>
      <c r="F11" s="25">
        <f>9.8%*B11</f>
        <v>3.92</v>
      </c>
      <c r="G11" s="25">
        <f t="shared" ref="G11" si="1">4*(D11+F11)+9*E11</f>
        <v>56.100000000000009</v>
      </c>
    </row>
    <row r="12" spans="1:7" x14ac:dyDescent="0.3">
      <c r="A12" s="41" t="s">
        <v>22</v>
      </c>
      <c r="B12" s="27">
        <v>10</v>
      </c>
      <c r="C12" s="27">
        <f>100%*B12</f>
        <v>10</v>
      </c>
      <c r="D12" s="27"/>
      <c r="E12" s="27"/>
      <c r="F12" s="27">
        <f>99%*C12</f>
        <v>9.9</v>
      </c>
      <c r="G12" s="27">
        <f>4*(D12+F12)+9*E12</f>
        <v>39.6</v>
      </c>
    </row>
    <row r="13" spans="1:7" x14ac:dyDescent="0.3">
      <c r="A13" s="41" t="s">
        <v>15</v>
      </c>
      <c r="B13" s="27">
        <v>1</v>
      </c>
      <c r="C13" s="27">
        <f>100%*B13</f>
        <v>1</v>
      </c>
      <c r="D13" s="27"/>
      <c r="E13" s="27"/>
      <c r="F13" s="27"/>
      <c r="G13" s="27">
        <f>4*(D13+F13)+9*E13</f>
        <v>0</v>
      </c>
    </row>
    <row r="14" spans="1:7" s="15" customFormat="1" x14ac:dyDescent="0.2">
      <c r="A14" s="41" t="s">
        <v>71</v>
      </c>
      <c r="B14" s="27">
        <v>110</v>
      </c>
      <c r="C14" s="27">
        <v>110</v>
      </c>
      <c r="D14" s="27"/>
      <c r="E14" s="27"/>
      <c r="F14" s="27"/>
      <c r="G14" s="27"/>
    </row>
    <row r="15" spans="1:7" x14ac:dyDescent="0.3">
      <c r="A15" s="37" t="s">
        <v>16</v>
      </c>
      <c r="B15" s="93">
        <v>250</v>
      </c>
      <c r="C15" s="94"/>
      <c r="D15" s="28">
        <f>SUM(D9:D14)</f>
        <v>7.5879999999999992</v>
      </c>
      <c r="E15" s="28">
        <f t="shared" ref="E15:F15" si="2">SUM(E9:E14)</f>
        <v>12.988999999999999</v>
      </c>
      <c r="F15" s="28">
        <f t="shared" si="2"/>
        <v>38.619999999999997</v>
      </c>
      <c r="G15" s="28">
        <f>SUM(G9:G14)</f>
        <v>301.733</v>
      </c>
    </row>
    <row r="20" spans="1:7" x14ac:dyDescent="0.3">
      <c r="A20" s="110" t="s">
        <v>81</v>
      </c>
      <c r="B20" s="110"/>
      <c r="C20" s="110"/>
      <c r="D20" s="110"/>
      <c r="E20" s="110"/>
      <c r="F20" s="110"/>
      <c r="G20" s="110"/>
    </row>
    <row r="21" spans="1:7" ht="36" x14ac:dyDescent="0.3">
      <c r="A21" s="111" t="s">
        <v>2</v>
      </c>
      <c r="B21" s="111" t="s">
        <v>3</v>
      </c>
      <c r="C21" s="111"/>
      <c r="D21" s="111" t="s">
        <v>4</v>
      </c>
      <c r="E21" s="111" t="s">
        <v>5</v>
      </c>
      <c r="F21" s="111" t="s">
        <v>6</v>
      </c>
      <c r="G21" s="34" t="s">
        <v>7</v>
      </c>
    </row>
    <row r="22" spans="1:7" x14ac:dyDescent="0.3">
      <c r="A22" s="111"/>
      <c r="B22" s="34" t="s">
        <v>8</v>
      </c>
      <c r="C22" s="34" t="s">
        <v>9</v>
      </c>
      <c r="D22" s="111"/>
      <c r="E22" s="111"/>
      <c r="F22" s="111"/>
      <c r="G22" s="34" t="s">
        <v>10</v>
      </c>
    </row>
    <row r="23" spans="1:7" x14ac:dyDescent="0.3">
      <c r="A23" s="54" t="s">
        <v>29</v>
      </c>
      <c r="B23" s="25">
        <v>1</v>
      </c>
      <c r="C23" s="25">
        <f>100%*B23</f>
        <v>1</v>
      </c>
      <c r="D23" s="25"/>
      <c r="E23" s="25"/>
      <c r="F23" s="25"/>
      <c r="G23" s="25">
        <f>4*(D23+F23)+9*E23</f>
        <v>0</v>
      </c>
    </row>
    <row r="24" spans="1:7" x14ac:dyDescent="0.3">
      <c r="A24" s="54" t="s">
        <v>22</v>
      </c>
      <c r="B24" s="25">
        <v>20</v>
      </c>
      <c r="C24" s="25">
        <f>100%*B24</f>
        <v>20</v>
      </c>
      <c r="D24" s="25"/>
      <c r="E24" s="25"/>
      <c r="F24" s="25">
        <f>99%*C24</f>
        <v>19.8</v>
      </c>
      <c r="G24" s="25">
        <f>4*(D24+F24)+9*E24</f>
        <v>79.2</v>
      </c>
    </row>
    <row r="25" spans="1:7" x14ac:dyDescent="0.35">
      <c r="A25" s="38" t="s">
        <v>16</v>
      </c>
      <c r="B25" s="122">
        <v>250</v>
      </c>
      <c r="C25" s="122"/>
      <c r="D25" s="26">
        <f t="shared" ref="D25:F25" si="3">SUM(D23:D24)</f>
        <v>0</v>
      </c>
      <c r="E25" s="26">
        <f t="shared" si="3"/>
        <v>0</v>
      </c>
      <c r="F25" s="26">
        <f t="shared" si="3"/>
        <v>19.8</v>
      </c>
      <c r="G25" s="26">
        <f>SUM(G23:G24)</f>
        <v>79.2</v>
      </c>
    </row>
    <row r="26" spans="1:7" x14ac:dyDescent="0.3">
      <c r="A26" s="72" t="s">
        <v>12</v>
      </c>
      <c r="B26" s="26">
        <v>40</v>
      </c>
      <c r="C26" s="26">
        <f>80%*B26</f>
        <v>32</v>
      </c>
      <c r="D26" s="26">
        <f>17.9%*C26</f>
        <v>5.7279999999999998</v>
      </c>
      <c r="E26" s="26">
        <f>14.3%*C26</f>
        <v>4.5760000000000005</v>
      </c>
      <c r="F26" s="26"/>
      <c r="G26" s="26">
        <f>4*(D26+F26)+9*E26</f>
        <v>64.096000000000004</v>
      </c>
    </row>
    <row r="27" spans="1:7" x14ac:dyDescent="0.3">
      <c r="A27" s="72" t="s">
        <v>28</v>
      </c>
      <c r="B27" s="26">
        <v>10</v>
      </c>
      <c r="C27" s="26">
        <f>100%*B27</f>
        <v>10</v>
      </c>
      <c r="D27" s="26">
        <f>0.5%*C27</f>
        <v>0.05</v>
      </c>
      <c r="E27" s="26">
        <f>82.5%*C27</f>
        <v>8.25</v>
      </c>
      <c r="F27" s="26">
        <f>0.8%*C27</f>
        <v>0.08</v>
      </c>
      <c r="G27" s="26">
        <f>4*(D27+F27)+9*E27</f>
        <v>74.77</v>
      </c>
    </row>
    <row r="28" spans="1:7" x14ac:dyDescent="0.3">
      <c r="A28" s="72" t="s">
        <v>13</v>
      </c>
      <c r="B28" s="26">
        <v>300</v>
      </c>
      <c r="C28" s="26">
        <f>B28*100%</f>
        <v>300</v>
      </c>
      <c r="D28" s="26">
        <f>C28*7.9%</f>
        <v>23.7</v>
      </c>
      <c r="E28" s="26">
        <f>C28*1%</f>
        <v>3</v>
      </c>
      <c r="F28" s="26">
        <f>C28*49.6%</f>
        <v>148.80000000000001</v>
      </c>
      <c r="G28" s="26">
        <f>4*(D28+F28)+9*E28</f>
        <v>717</v>
      </c>
    </row>
    <row r="29" spans="1:7" x14ac:dyDescent="0.3">
      <c r="A29" s="38" t="s">
        <v>34</v>
      </c>
      <c r="B29" s="112">
        <f>B15+B25+B26+B27+B28</f>
        <v>850</v>
      </c>
      <c r="C29" s="112"/>
      <c r="D29" s="26">
        <f>D15+D18+D27</f>
        <v>7.637999999999999</v>
      </c>
      <c r="E29" s="26">
        <f>E15+E18+E27</f>
        <v>21.238999999999997</v>
      </c>
      <c r="F29" s="26">
        <f>F15+F18+F27</f>
        <v>38.699999999999996</v>
      </c>
      <c r="G29" s="26">
        <f>G15+G25+G26+G27+G28</f>
        <v>1236.799</v>
      </c>
    </row>
    <row r="31" spans="1:7" x14ac:dyDescent="0.35">
      <c r="A31" s="69" t="s">
        <v>37</v>
      </c>
    </row>
    <row r="32" spans="1:7" x14ac:dyDescent="0.3">
      <c r="A32" s="110" t="s">
        <v>75</v>
      </c>
      <c r="B32" s="110"/>
      <c r="C32" s="110"/>
      <c r="D32" s="110"/>
      <c r="E32" s="110"/>
      <c r="F32" s="110"/>
      <c r="G32" s="110"/>
    </row>
    <row r="33" spans="1:9" ht="36" x14ac:dyDescent="0.3">
      <c r="A33" s="111" t="s">
        <v>2</v>
      </c>
      <c r="B33" s="111" t="s">
        <v>3</v>
      </c>
      <c r="C33" s="111"/>
      <c r="D33" s="113" t="s">
        <v>4</v>
      </c>
      <c r="E33" s="113" t="s">
        <v>5</v>
      </c>
      <c r="F33" s="111" t="s">
        <v>6</v>
      </c>
      <c r="G33" s="34" t="s">
        <v>7</v>
      </c>
    </row>
    <row r="34" spans="1:9" x14ac:dyDescent="0.3">
      <c r="A34" s="111"/>
      <c r="B34" s="34" t="s">
        <v>8</v>
      </c>
      <c r="C34" s="34" t="s">
        <v>9</v>
      </c>
      <c r="D34" s="114"/>
      <c r="E34" s="114"/>
      <c r="F34" s="111"/>
      <c r="G34" s="34" t="s">
        <v>10</v>
      </c>
    </row>
    <row r="35" spans="1:9" x14ac:dyDescent="0.3">
      <c r="A35" s="54" t="s">
        <v>45</v>
      </c>
      <c r="B35" s="25">
        <v>80</v>
      </c>
      <c r="C35" s="25">
        <f>80%*B35</f>
        <v>64</v>
      </c>
      <c r="D35" s="25">
        <f>1.77%*C35</f>
        <v>1.1328</v>
      </c>
      <c r="E35" s="25"/>
      <c r="F35" s="25">
        <f>11%*C35</f>
        <v>7.04</v>
      </c>
      <c r="G35" s="25">
        <f t="shared" ref="G35:G41" si="4">4*(D35+F35)+9*E35</f>
        <v>32.691200000000002</v>
      </c>
      <c r="H35" s="16"/>
      <c r="I35" s="16"/>
    </row>
    <row r="36" spans="1:9" x14ac:dyDescent="0.3">
      <c r="A36" s="54" t="s">
        <v>48</v>
      </c>
      <c r="B36" s="25">
        <v>80</v>
      </c>
      <c r="C36" s="25">
        <f>75%*B36</f>
        <v>60</v>
      </c>
      <c r="D36" s="25">
        <f>1.87%*C36</f>
        <v>1.1220000000000001</v>
      </c>
      <c r="E36" s="25"/>
      <c r="F36" s="25">
        <f>4.15%*C36</f>
        <v>2.4900000000000002</v>
      </c>
      <c r="G36" s="25">
        <f t="shared" si="4"/>
        <v>14.448</v>
      </c>
    </row>
    <row r="37" spans="1:9" x14ac:dyDescent="0.3">
      <c r="A37" s="54" t="s">
        <v>43</v>
      </c>
      <c r="B37" s="25">
        <v>12</v>
      </c>
      <c r="C37" s="25">
        <f>90%*B37</f>
        <v>10.8</v>
      </c>
      <c r="D37" s="25">
        <f>1.58%*C37</f>
        <v>0.17064000000000004</v>
      </c>
      <c r="E37" s="25"/>
      <c r="F37" s="25">
        <f>9.5%*C37</f>
        <v>1.026</v>
      </c>
      <c r="G37" s="25">
        <f t="shared" si="4"/>
        <v>4.7865600000000006</v>
      </c>
    </row>
    <row r="38" spans="1:9" s="16" customFormat="1" x14ac:dyDescent="0.3">
      <c r="A38" s="54" t="s">
        <v>53</v>
      </c>
      <c r="B38" s="25">
        <v>30</v>
      </c>
      <c r="C38" s="25">
        <f>90%*B38</f>
        <v>27</v>
      </c>
      <c r="D38" s="25">
        <f>0.8%*C38</f>
        <v>0.216</v>
      </c>
      <c r="E38" s="25"/>
      <c r="F38" s="25">
        <f>2.6%*C38</f>
        <v>0.70200000000000007</v>
      </c>
      <c r="G38" s="25">
        <f t="shared" si="4"/>
        <v>3.6720000000000002</v>
      </c>
      <c r="H38" s="12"/>
      <c r="I38" s="12"/>
    </row>
    <row r="39" spans="1:9" x14ac:dyDescent="0.3">
      <c r="A39" s="54" t="s">
        <v>55</v>
      </c>
      <c r="B39" s="25">
        <v>25</v>
      </c>
      <c r="C39" s="25">
        <f>85%*B39</f>
        <v>21.25</v>
      </c>
      <c r="D39" s="25"/>
      <c r="E39" s="25"/>
      <c r="F39" s="25"/>
      <c r="G39" s="25">
        <f t="shared" si="4"/>
        <v>0</v>
      </c>
    </row>
    <row r="40" spans="1:9" x14ac:dyDescent="0.3">
      <c r="A40" s="54" t="s">
        <v>24</v>
      </c>
      <c r="B40" s="25">
        <v>20</v>
      </c>
      <c r="C40" s="25">
        <f>100%*B40</f>
        <v>20</v>
      </c>
      <c r="D40" s="25">
        <f>2.6%*C40</f>
        <v>0.52</v>
      </c>
      <c r="E40" s="25">
        <f>10%*C40</f>
        <v>2</v>
      </c>
      <c r="F40" s="25">
        <f>3.8%*C40</f>
        <v>0.76</v>
      </c>
      <c r="G40" s="25">
        <f t="shared" si="4"/>
        <v>23.12</v>
      </c>
    </row>
    <row r="41" spans="1:9" x14ac:dyDescent="0.3">
      <c r="A41" s="54" t="s">
        <v>15</v>
      </c>
      <c r="B41" s="25">
        <v>1</v>
      </c>
      <c r="C41" s="25">
        <f>100%*B41</f>
        <v>1</v>
      </c>
      <c r="D41" s="25"/>
      <c r="E41" s="25"/>
      <c r="F41" s="25"/>
      <c r="G41" s="25">
        <f t="shared" si="4"/>
        <v>0</v>
      </c>
    </row>
    <row r="42" spans="1:9" x14ac:dyDescent="0.3">
      <c r="A42" s="38" t="s">
        <v>16</v>
      </c>
      <c r="B42" s="115">
        <v>200</v>
      </c>
      <c r="C42" s="116"/>
      <c r="D42" s="26">
        <f>SUM(D35:D41)</f>
        <v>3.1614400000000007</v>
      </c>
      <c r="E42" s="26">
        <f>SUM(E35:E41)</f>
        <v>2</v>
      </c>
      <c r="F42" s="26">
        <f>SUM(F35:F41)</f>
        <v>12.018000000000001</v>
      </c>
      <c r="G42" s="26">
        <f>SUM(G35:G41)</f>
        <v>78.717759999999998</v>
      </c>
    </row>
    <row r="44" spans="1:9" x14ac:dyDescent="0.3">
      <c r="A44" s="53"/>
      <c r="B44" s="108"/>
      <c r="C44" s="108"/>
      <c r="D44" s="108"/>
      <c r="E44" s="108"/>
      <c r="F44" s="108"/>
      <c r="G44" s="108"/>
    </row>
    <row r="45" spans="1:9" x14ac:dyDescent="0.3">
      <c r="A45" s="97" t="s">
        <v>82</v>
      </c>
      <c r="B45" s="97"/>
      <c r="C45" s="97"/>
      <c r="D45" s="97"/>
      <c r="E45" s="97"/>
      <c r="F45" s="97"/>
      <c r="G45" s="97"/>
    </row>
    <row r="46" spans="1:9" ht="36" x14ac:dyDescent="0.3">
      <c r="A46" s="98" t="s">
        <v>2</v>
      </c>
      <c r="B46" s="98" t="s">
        <v>3</v>
      </c>
      <c r="C46" s="98"/>
      <c r="D46" s="99" t="s">
        <v>4</v>
      </c>
      <c r="E46" s="99" t="s">
        <v>5</v>
      </c>
      <c r="F46" s="98" t="s">
        <v>6</v>
      </c>
      <c r="G46" s="35" t="s">
        <v>7</v>
      </c>
    </row>
    <row r="47" spans="1:9" ht="38.25" customHeight="1" x14ac:dyDescent="0.3">
      <c r="A47" s="98"/>
      <c r="B47" s="35" t="s">
        <v>8</v>
      </c>
      <c r="C47" s="35" t="s">
        <v>9</v>
      </c>
      <c r="D47" s="100"/>
      <c r="E47" s="100"/>
      <c r="F47" s="98"/>
      <c r="G47" s="35" t="s">
        <v>10</v>
      </c>
    </row>
    <row r="48" spans="1:9" ht="27.75" customHeight="1" x14ac:dyDescent="0.3">
      <c r="A48" s="70" t="s">
        <v>46</v>
      </c>
      <c r="B48" s="27">
        <v>70</v>
      </c>
      <c r="C48" s="27">
        <f>72%*B48</f>
        <v>50.4</v>
      </c>
      <c r="D48" s="27">
        <f>2.1%*C48</f>
        <v>1.0584</v>
      </c>
      <c r="E48" s="27">
        <f>0.4%*C48</f>
        <v>0.2016</v>
      </c>
      <c r="F48" s="27">
        <f>15.6%*C48</f>
        <v>7.8624000000000001</v>
      </c>
      <c r="G48" s="27">
        <f>4*(D48+F48)+9*E48</f>
        <v>37.497599999999998</v>
      </c>
      <c r="H48" s="16"/>
      <c r="I48" s="16"/>
    </row>
    <row r="49" spans="1:9" x14ac:dyDescent="0.3">
      <c r="A49" s="70" t="s">
        <v>47</v>
      </c>
      <c r="B49" s="27">
        <v>100</v>
      </c>
      <c r="C49" s="27">
        <f>75%*B49</f>
        <v>75</v>
      </c>
      <c r="D49" s="27">
        <f>1.87%*C49</f>
        <v>1.4025000000000001</v>
      </c>
      <c r="E49" s="27"/>
      <c r="F49" s="27">
        <f>4.16%*C49</f>
        <v>3.1199999999999997</v>
      </c>
      <c r="G49" s="27">
        <f t="shared" ref="G49:G55" si="5">4*(D49+F49)+9*E49</f>
        <v>18.09</v>
      </c>
    </row>
    <row r="50" spans="1:9" x14ac:dyDescent="0.3">
      <c r="A50" s="70" t="s">
        <v>49</v>
      </c>
      <c r="B50" s="27">
        <v>100</v>
      </c>
      <c r="C50" s="27">
        <f>90%*B50</f>
        <v>90</v>
      </c>
      <c r="D50" s="27">
        <f>1.66%*C50</f>
        <v>1.494</v>
      </c>
      <c r="E50" s="27"/>
      <c r="F50" s="27">
        <f>10%*C50</f>
        <v>9</v>
      </c>
      <c r="G50" s="27">
        <f t="shared" si="5"/>
        <v>41.975999999999999</v>
      </c>
    </row>
    <row r="51" spans="1:9" s="16" customFormat="1" x14ac:dyDescent="0.3">
      <c r="A51" s="70" t="s">
        <v>14</v>
      </c>
      <c r="B51" s="27">
        <v>10</v>
      </c>
      <c r="C51" s="27">
        <f>100%*B51</f>
        <v>10</v>
      </c>
      <c r="D51" s="27"/>
      <c r="E51" s="27">
        <f>99.9%*C51</f>
        <v>9.990000000000002</v>
      </c>
      <c r="F51" s="27"/>
      <c r="G51" s="27">
        <f t="shared" si="5"/>
        <v>89.910000000000025</v>
      </c>
      <c r="H51" s="12"/>
      <c r="I51" s="12"/>
    </row>
    <row r="52" spans="1:9" x14ac:dyDescent="0.3">
      <c r="A52" s="70" t="s">
        <v>45</v>
      </c>
      <c r="B52" s="27">
        <v>25</v>
      </c>
      <c r="C52" s="27">
        <f>80%*B52</f>
        <v>20</v>
      </c>
      <c r="D52" s="27">
        <f>1.77%*C52</f>
        <v>0.35399999999999998</v>
      </c>
      <c r="E52" s="27"/>
      <c r="F52" s="27">
        <f>11%*C52</f>
        <v>2.2000000000000002</v>
      </c>
      <c r="G52" s="27">
        <f t="shared" si="5"/>
        <v>10.216000000000001</v>
      </c>
    </row>
    <row r="53" spans="1:9" x14ac:dyDescent="0.3">
      <c r="A53" s="70" t="s">
        <v>42</v>
      </c>
      <c r="B53" s="27">
        <v>7</v>
      </c>
      <c r="C53" s="27">
        <f>85%*B53</f>
        <v>5.95</v>
      </c>
      <c r="D53" s="27"/>
      <c r="E53" s="27"/>
      <c r="F53" s="27"/>
      <c r="G53" s="27">
        <f t="shared" si="5"/>
        <v>0</v>
      </c>
    </row>
    <row r="54" spans="1:9" x14ac:dyDescent="0.3">
      <c r="A54" s="70" t="s">
        <v>43</v>
      </c>
      <c r="B54" s="27">
        <v>6</v>
      </c>
      <c r="C54" s="27">
        <f>90%*B54</f>
        <v>5.4</v>
      </c>
      <c r="D54" s="27">
        <f>1.58%*C54</f>
        <v>8.5320000000000021E-2</v>
      </c>
      <c r="E54" s="27"/>
      <c r="F54" s="27">
        <f>9.5%*C54</f>
        <v>0.51300000000000001</v>
      </c>
      <c r="G54" s="27">
        <f t="shared" si="5"/>
        <v>2.3932800000000003</v>
      </c>
    </row>
    <row r="55" spans="1:9" x14ac:dyDescent="0.3">
      <c r="A55" s="70" t="s">
        <v>24</v>
      </c>
      <c r="B55" s="27">
        <v>15</v>
      </c>
      <c r="C55" s="27">
        <f t="shared" ref="C55" si="6">100%*B55</f>
        <v>15</v>
      </c>
      <c r="D55" s="27">
        <f>2.6%*C55</f>
        <v>0.39</v>
      </c>
      <c r="E55" s="27">
        <f>10%*C55</f>
        <v>1.5</v>
      </c>
      <c r="F55" s="27">
        <f>3.8%*C55</f>
        <v>0.56999999999999995</v>
      </c>
      <c r="G55" s="27">
        <f t="shared" si="5"/>
        <v>17.34</v>
      </c>
    </row>
    <row r="56" spans="1:9" x14ac:dyDescent="0.3">
      <c r="A56" s="70" t="s">
        <v>65</v>
      </c>
      <c r="B56" s="27">
        <v>5</v>
      </c>
      <c r="C56" s="27">
        <f>100%*B56</f>
        <v>5</v>
      </c>
      <c r="D56" s="27"/>
      <c r="E56" s="27"/>
      <c r="F56" s="27">
        <f>17.7%*C56</f>
        <v>0.88500000000000001</v>
      </c>
      <c r="G56" s="27">
        <f>4*(D56+F56)+9*E56</f>
        <v>3.54</v>
      </c>
    </row>
    <row r="57" spans="1:9" x14ac:dyDescent="0.3">
      <c r="A57" s="70" t="s">
        <v>15</v>
      </c>
      <c r="B57" s="27">
        <v>1</v>
      </c>
      <c r="C57" s="27">
        <f>100%*B57</f>
        <v>1</v>
      </c>
      <c r="D57" s="27"/>
      <c r="E57" s="27"/>
      <c r="F57" s="27"/>
      <c r="G57" s="27">
        <f t="shared" ref="G57" si="7">4*(D57+F57)+9*E57</f>
        <v>0</v>
      </c>
    </row>
    <row r="58" spans="1:9" x14ac:dyDescent="0.3">
      <c r="A58" s="37" t="s">
        <v>16</v>
      </c>
      <c r="B58" s="93">
        <v>450</v>
      </c>
      <c r="C58" s="94"/>
      <c r="D58" s="28">
        <f>SUM(D48:D55)</f>
        <v>4.7842200000000004</v>
      </c>
      <c r="E58" s="28">
        <f>SUM(E48:E55)</f>
        <v>11.691600000000001</v>
      </c>
      <c r="F58" s="28">
        <f>SUM(F48:F55)</f>
        <v>23.2654</v>
      </c>
      <c r="G58" s="28">
        <f>SUM(G48:G57)</f>
        <v>220.96288000000004</v>
      </c>
    </row>
    <row r="62" spans="1:9" x14ac:dyDescent="0.3">
      <c r="A62" s="110" t="s">
        <v>76</v>
      </c>
      <c r="B62" s="110"/>
      <c r="C62" s="110"/>
      <c r="D62" s="110"/>
      <c r="E62" s="110"/>
      <c r="F62" s="110"/>
      <c r="G62" s="110"/>
    </row>
    <row r="63" spans="1:9" ht="36" x14ac:dyDescent="0.3">
      <c r="A63" s="111" t="s">
        <v>2</v>
      </c>
      <c r="B63" s="111" t="s">
        <v>3</v>
      </c>
      <c r="C63" s="111"/>
      <c r="D63" s="113" t="s">
        <v>4</v>
      </c>
      <c r="E63" s="113" t="s">
        <v>5</v>
      </c>
      <c r="F63" s="111" t="s">
        <v>6</v>
      </c>
      <c r="G63" s="34" t="s">
        <v>7</v>
      </c>
    </row>
    <row r="64" spans="1:9" x14ac:dyDescent="0.3">
      <c r="A64" s="111"/>
      <c r="B64" s="34" t="s">
        <v>8</v>
      </c>
      <c r="C64" s="34" t="s">
        <v>9</v>
      </c>
      <c r="D64" s="114"/>
      <c r="E64" s="114"/>
      <c r="F64" s="111"/>
      <c r="G64" s="34" t="s">
        <v>10</v>
      </c>
    </row>
    <row r="65" spans="1:7" ht="36" x14ac:dyDescent="0.3">
      <c r="A65" s="71" t="s">
        <v>30</v>
      </c>
      <c r="B65" s="25">
        <v>200</v>
      </c>
      <c r="C65" s="25">
        <f>B65*75%</f>
        <v>150</v>
      </c>
      <c r="D65" s="25">
        <f>18.6%*C65</f>
        <v>27.900000000000006</v>
      </c>
      <c r="E65" s="25">
        <f>17.3%*C65</f>
        <v>25.950000000000003</v>
      </c>
      <c r="F65" s="25"/>
      <c r="G65" s="25">
        <f t="shared" ref="G65:G70" si="8">4*(D65+F65)+9*E65</f>
        <v>345.15000000000003</v>
      </c>
    </row>
    <row r="66" spans="1:7" x14ac:dyDescent="0.3">
      <c r="A66" s="71" t="s">
        <v>43</v>
      </c>
      <c r="B66" s="25">
        <v>12</v>
      </c>
      <c r="C66" s="25">
        <f>90%*B66</f>
        <v>10.8</v>
      </c>
      <c r="D66" s="25">
        <f>1.58%*C66</f>
        <v>0.17064000000000004</v>
      </c>
      <c r="E66" s="25"/>
      <c r="F66" s="25">
        <f>9.5%*C66</f>
        <v>1.026</v>
      </c>
      <c r="G66" s="25">
        <f t="shared" si="8"/>
        <v>4.7865600000000006</v>
      </c>
    </row>
    <row r="67" spans="1:7" x14ac:dyDescent="0.3">
      <c r="A67" s="71" t="s">
        <v>24</v>
      </c>
      <c r="B67" s="25">
        <v>50</v>
      </c>
      <c r="C67" s="25">
        <f t="shared" ref="C67" si="9">100%*B67</f>
        <v>50</v>
      </c>
      <c r="D67" s="25">
        <f>2.6%*C67</f>
        <v>1.3</v>
      </c>
      <c r="E67" s="25">
        <f>10%*C67</f>
        <v>5</v>
      </c>
      <c r="F67" s="25">
        <f>3.8%*C67</f>
        <v>1.9</v>
      </c>
      <c r="G67" s="25">
        <f t="shared" si="8"/>
        <v>57.8</v>
      </c>
    </row>
    <row r="68" spans="1:7" x14ac:dyDescent="0.3">
      <c r="A68" s="71" t="s">
        <v>17</v>
      </c>
      <c r="B68" s="25">
        <v>10</v>
      </c>
      <c r="C68" s="25">
        <f>B68*100%</f>
        <v>10</v>
      </c>
      <c r="D68" s="25">
        <f>C68*10%</f>
        <v>1</v>
      </c>
      <c r="E68" s="25">
        <f>C68*1.3%</f>
        <v>0.13</v>
      </c>
      <c r="F68" s="25">
        <f>C68*69%</f>
        <v>6.8999999999999995</v>
      </c>
      <c r="G68" s="25">
        <f t="shared" si="8"/>
        <v>32.769999999999996</v>
      </c>
    </row>
    <row r="69" spans="1:7" x14ac:dyDescent="0.3">
      <c r="A69" s="71" t="s">
        <v>54</v>
      </c>
      <c r="B69" s="25">
        <v>0.1</v>
      </c>
      <c r="C69" s="25">
        <f>100%*B69</f>
        <v>0.1</v>
      </c>
      <c r="D69" s="25"/>
      <c r="E69" s="25"/>
      <c r="F69" s="25"/>
      <c r="G69" s="25">
        <f t="shared" si="8"/>
        <v>0</v>
      </c>
    </row>
    <row r="70" spans="1:7" x14ac:dyDescent="0.3">
      <c r="A70" s="71" t="s">
        <v>42</v>
      </c>
      <c r="B70" s="25">
        <v>7</v>
      </c>
      <c r="C70" s="25">
        <f>85%*B70</f>
        <v>5.95</v>
      </c>
      <c r="D70" s="25"/>
      <c r="E70" s="25"/>
      <c r="F70" s="25"/>
      <c r="G70" s="25">
        <f t="shared" si="8"/>
        <v>0</v>
      </c>
    </row>
    <row r="71" spans="1:7" x14ac:dyDescent="0.3">
      <c r="A71" s="54" t="s">
        <v>15</v>
      </c>
      <c r="B71" s="25">
        <v>1.5</v>
      </c>
      <c r="C71" s="25">
        <v>1.5</v>
      </c>
      <c r="D71" s="25"/>
      <c r="E71" s="25"/>
      <c r="F71" s="25"/>
      <c r="G71" s="25"/>
    </row>
    <row r="72" spans="1:7" ht="36" x14ac:dyDescent="0.3">
      <c r="A72" s="71" t="s">
        <v>19</v>
      </c>
      <c r="B72" s="25">
        <v>10</v>
      </c>
      <c r="C72" s="25">
        <f>100%*B72</f>
        <v>10</v>
      </c>
      <c r="D72" s="25"/>
      <c r="E72" s="25">
        <f>72.57%*C72</f>
        <v>7.2569999999999988</v>
      </c>
      <c r="F72" s="25"/>
      <c r="G72" s="25">
        <f>4*(D72+F72)+9*E72</f>
        <v>65.312999999999988</v>
      </c>
    </row>
    <row r="73" spans="1:7" x14ac:dyDescent="0.3">
      <c r="A73" s="38" t="s">
        <v>16</v>
      </c>
      <c r="B73" s="115">
        <v>200</v>
      </c>
      <c r="C73" s="116"/>
      <c r="D73" s="26">
        <f t="shared" ref="D73:F73" si="10">SUM(D65:D72)</f>
        <v>30.370640000000005</v>
      </c>
      <c r="E73" s="26">
        <f t="shared" si="10"/>
        <v>38.337000000000003</v>
      </c>
      <c r="F73" s="26">
        <f t="shared" si="10"/>
        <v>9.8260000000000005</v>
      </c>
      <c r="G73" s="26">
        <f>SUM(G65:G72)</f>
        <v>505.81956000000002</v>
      </c>
    </row>
    <row r="75" spans="1:7" x14ac:dyDescent="0.3">
      <c r="A75" s="110" t="s">
        <v>77</v>
      </c>
      <c r="B75" s="110"/>
      <c r="C75" s="110"/>
      <c r="D75" s="110"/>
      <c r="E75" s="110"/>
      <c r="F75" s="110"/>
      <c r="G75" s="110"/>
    </row>
    <row r="76" spans="1:7" ht="36" x14ac:dyDescent="0.3">
      <c r="A76" s="111" t="s">
        <v>2</v>
      </c>
      <c r="B76" s="111" t="s">
        <v>3</v>
      </c>
      <c r="C76" s="111"/>
      <c r="D76" s="113" t="s">
        <v>4</v>
      </c>
      <c r="E76" s="113" t="s">
        <v>5</v>
      </c>
      <c r="F76" s="111" t="s">
        <v>6</v>
      </c>
      <c r="G76" s="34" t="s">
        <v>7</v>
      </c>
    </row>
    <row r="77" spans="1:7" ht="13.5" customHeight="1" x14ac:dyDescent="0.3">
      <c r="A77" s="111"/>
      <c r="B77" s="34" t="s">
        <v>8</v>
      </c>
      <c r="C77" s="34" t="s">
        <v>9</v>
      </c>
      <c r="D77" s="114"/>
      <c r="E77" s="114"/>
      <c r="F77" s="111"/>
      <c r="G77" s="34" t="s">
        <v>10</v>
      </c>
    </row>
    <row r="78" spans="1:7" x14ac:dyDescent="0.3">
      <c r="A78" s="71" t="s">
        <v>46</v>
      </c>
      <c r="B78" s="25">
        <v>250</v>
      </c>
      <c r="C78" s="25">
        <f>72%*B78</f>
        <v>180</v>
      </c>
      <c r="D78" s="25">
        <f>2.1%*C78</f>
        <v>3.7800000000000002</v>
      </c>
      <c r="E78" s="25">
        <f>0.4%*C78</f>
        <v>0.72</v>
      </c>
      <c r="F78" s="25">
        <f>15.6%*C78</f>
        <v>28.08</v>
      </c>
      <c r="G78" s="25">
        <f>4*(D78+F78)+9*E78</f>
        <v>133.91999999999999</v>
      </c>
    </row>
    <row r="79" spans="1:7" x14ac:dyDescent="0.3">
      <c r="A79" s="71" t="s">
        <v>14</v>
      </c>
      <c r="B79" s="25">
        <v>10</v>
      </c>
      <c r="C79" s="25">
        <f>100%*B79</f>
        <v>10</v>
      </c>
      <c r="D79" s="25"/>
      <c r="E79" s="25">
        <f>99.9%*C79</f>
        <v>9.990000000000002</v>
      </c>
      <c r="F79" s="25"/>
      <c r="G79" s="25">
        <f>4*(D79+F79)+9*E79</f>
        <v>89.910000000000025</v>
      </c>
    </row>
    <row r="80" spans="1:7" x14ac:dyDescent="0.3">
      <c r="A80" s="54" t="s">
        <v>15</v>
      </c>
      <c r="B80" s="25">
        <v>2</v>
      </c>
      <c r="C80" s="25">
        <f>100%*B80</f>
        <v>2</v>
      </c>
      <c r="D80" s="25"/>
      <c r="E80" s="25"/>
      <c r="F80" s="25"/>
      <c r="G80" s="25">
        <f>4*(D80+F80)+9*E80</f>
        <v>0</v>
      </c>
    </row>
    <row r="81" spans="1:7" x14ac:dyDescent="0.3">
      <c r="A81" s="38" t="s">
        <v>16</v>
      </c>
      <c r="B81" s="115">
        <v>150</v>
      </c>
      <c r="C81" s="116"/>
      <c r="D81" s="26">
        <f t="shared" ref="D81:F81" si="11">SUM(D78:D80)</f>
        <v>3.7800000000000002</v>
      </c>
      <c r="E81" s="26">
        <f t="shared" si="11"/>
        <v>10.710000000000003</v>
      </c>
      <c r="F81" s="26">
        <f t="shared" si="11"/>
        <v>28.08</v>
      </c>
      <c r="G81" s="26">
        <f>SUM(G78:G80)</f>
        <v>223.83</v>
      </c>
    </row>
    <row r="82" spans="1:7" x14ac:dyDescent="0.3">
      <c r="A82" s="72" t="s">
        <v>13</v>
      </c>
      <c r="B82" s="26">
        <v>400</v>
      </c>
      <c r="C82" s="26">
        <f>B82*100%</f>
        <v>400</v>
      </c>
      <c r="D82" s="26">
        <f>C82*7.9%</f>
        <v>31.6</v>
      </c>
      <c r="E82" s="26">
        <f>C82*1%</f>
        <v>4</v>
      </c>
      <c r="F82" s="26">
        <f>C82*49.6%</f>
        <v>198.4</v>
      </c>
      <c r="G82" s="26">
        <f>4*(D82+F82)+9*E82</f>
        <v>956</v>
      </c>
    </row>
    <row r="86" spans="1:7" ht="36" x14ac:dyDescent="0.3">
      <c r="A86" s="111" t="s">
        <v>2</v>
      </c>
      <c r="B86" s="111" t="s">
        <v>3</v>
      </c>
      <c r="C86" s="111"/>
      <c r="D86" s="113" t="s">
        <v>4</v>
      </c>
      <c r="E86" s="113" t="s">
        <v>5</v>
      </c>
      <c r="F86" s="111" t="s">
        <v>6</v>
      </c>
      <c r="G86" s="34" t="s">
        <v>7</v>
      </c>
    </row>
    <row r="87" spans="1:7" x14ac:dyDescent="0.3">
      <c r="A87" s="111"/>
      <c r="B87" s="34" t="s">
        <v>8</v>
      </c>
      <c r="C87" s="34" t="s">
        <v>9</v>
      </c>
      <c r="D87" s="114"/>
      <c r="E87" s="114"/>
      <c r="F87" s="111"/>
      <c r="G87" s="34" t="s">
        <v>10</v>
      </c>
    </row>
    <row r="88" spans="1:7" x14ac:dyDescent="0.3">
      <c r="A88" s="71" t="s">
        <v>64</v>
      </c>
      <c r="B88" s="25">
        <v>200</v>
      </c>
      <c r="C88" s="25">
        <f t="shared" ref="C88" si="12">100%*B88</f>
        <v>200</v>
      </c>
      <c r="D88" s="25">
        <f>0.66%*C88</f>
        <v>1.32</v>
      </c>
      <c r="E88" s="25"/>
      <c r="F88" s="25">
        <f>17.3%*C88</f>
        <v>34.6</v>
      </c>
      <c r="G88" s="25">
        <f t="shared" ref="G88" si="13">4*(D88+F88)+9*E88</f>
        <v>143.68</v>
      </c>
    </row>
    <row r="89" spans="1:7" x14ac:dyDescent="0.3">
      <c r="A89" s="38" t="s">
        <v>61</v>
      </c>
      <c r="B89" s="117">
        <f>B42+B58+B73+B81+B82+B88</f>
        <v>1600</v>
      </c>
      <c r="C89" s="118"/>
      <c r="D89" s="26">
        <f t="shared" ref="D89:F89" si="14">D42+D58+D73+D81+D82+D88</f>
        <v>75.016300000000001</v>
      </c>
      <c r="E89" s="26">
        <f t="shared" si="14"/>
        <v>66.738600000000005</v>
      </c>
      <c r="F89" s="26">
        <f t="shared" si="14"/>
        <v>306.18940000000003</v>
      </c>
      <c r="G89" s="26">
        <f>G42+G58+G73+G81+G82+G88</f>
        <v>2129.0102000000002</v>
      </c>
    </row>
    <row r="93" spans="1:7" x14ac:dyDescent="0.35">
      <c r="A93" s="69" t="s">
        <v>63</v>
      </c>
    </row>
    <row r="94" spans="1:7" x14ac:dyDescent="0.3">
      <c r="A94" s="110" t="s">
        <v>83</v>
      </c>
      <c r="B94" s="110"/>
      <c r="C94" s="110"/>
      <c r="D94" s="110"/>
      <c r="E94" s="110"/>
      <c r="F94" s="110"/>
      <c r="G94" s="110"/>
    </row>
    <row r="95" spans="1:7" ht="36" x14ac:dyDescent="0.3">
      <c r="A95" s="111" t="s">
        <v>2</v>
      </c>
      <c r="B95" s="111" t="s">
        <v>3</v>
      </c>
      <c r="C95" s="111"/>
      <c r="D95" s="113" t="s">
        <v>4</v>
      </c>
      <c r="E95" s="113" t="s">
        <v>5</v>
      </c>
      <c r="F95" s="111" t="s">
        <v>6</v>
      </c>
      <c r="G95" s="34" t="s">
        <v>7</v>
      </c>
    </row>
    <row r="96" spans="1:7" x14ac:dyDescent="0.3">
      <c r="A96" s="111"/>
      <c r="B96" s="34" t="s">
        <v>8</v>
      </c>
      <c r="C96" s="34" t="s">
        <v>9</v>
      </c>
      <c r="D96" s="114"/>
      <c r="E96" s="114"/>
      <c r="F96" s="111"/>
      <c r="G96" s="34" t="s">
        <v>10</v>
      </c>
    </row>
    <row r="97" spans="1:7" x14ac:dyDescent="0.3">
      <c r="A97" s="71" t="s">
        <v>13</v>
      </c>
      <c r="B97" s="25">
        <v>15</v>
      </c>
      <c r="C97" s="25">
        <f>B97*100%</f>
        <v>15</v>
      </c>
      <c r="D97" s="25">
        <f>C97*7.9%</f>
        <v>1.1850000000000001</v>
      </c>
      <c r="E97" s="25">
        <f>C97*1%</f>
        <v>0.15</v>
      </c>
      <c r="F97" s="25">
        <f>C97*49.6%</f>
        <v>7.4399999999999995</v>
      </c>
      <c r="G97" s="25">
        <f t="shared" ref="G97:G103" si="15">4*(D97+F97)+9*E97</f>
        <v>35.85</v>
      </c>
    </row>
    <row r="98" spans="1:7" x14ac:dyDescent="0.3">
      <c r="A98" s="71" t="s">
        <v>36</v>
      </c>
      <c r="B98" s="25">
        <v>150</v>
      </c>
      <c r="C98" s="25">
        <f>92%*B98</f>
        <v>138</v>
      </c>
      <c r="D98" s="25">
        <f>15.48%*C98</f>
        <v>21.362399999999997</v>
      </c>
      <c r="E98" s="25">
        <f>8.69%*C98</f>
        <v>11.992199999999999</v>
      </c>
      <c r="F98" s="25"/>
      <c r="G98" s="25">
        <f t="shared" si="15"/>
        <v>193.37939999999998</v>
      </c>
    </row>
    <row r="99" spans="1:7" x14ac:dyDescent="0.3">
      <c r="A99" s="71" t="s">
        <v>14</v>
      </c>
      <c r="B99" s="25">
        <v>7</v>
      </c>
      <c r="C99" s="25">
        <f>100%*B99</f>
        <v>7</v>
      </c>
      <c r="D99" s="25"/>
      <c r="E99" s="25">
        <f>99.9%*C99</f>
        <v>6.9930000000000003</v>
      </c>
      <c r="F99" s="25"/>
      <c r="G99" s="25">
        <f t="shared" si="15"/>
        <v>62.937000000000005</v>
      </c>
    </row>
    <row r="100" spans="1:7" x14ac:dyDescent="0.3">
      <c r="A100" s="71" t="s">
        <v>43</v>
      </c>
      <c r="B100" s="25">
        <v>10</v>
      </c>
      <c r="C100" s="25">
        <f>90%*B100</f>
        <v>9</v>
      </c>
      <c r="D100" s="25">
        <f>1.58%*C100</f>
        <v>0.14220000000000002</v>
      </c>
      <c r="E100" s="25"/>
      <c r="F100" s="25">
        <f>9.5%*C100</f>
        <v>0.85499999999999998</v>
      </c>
      <c r="G100" s="25">
        <f t="shared" si="15"/>
        <v>3.9887999999999999</v>
      </c>
    </row>
    <row r="101" spans="1:7" x14ac:dyDescent="0.3">
      <c r="A101" s="54" t="s">
        <v>15</v>
      </c>
      <c r="B101" s="25">
        <v>1</v>
      </c>
      <c r="C101" s="25">
        <f>100%*B101</f>
        <v>1</v>
      </c>
      <c r="D101" s="25"/>
      <c r="E101" s="25"/>
      <c r="F101" s="25"/>
      <c r="G101" s="25">
        <f t="shared" si="15"/>
        <v>0</v>
      </c>
    </row>
    <row r="102" spans="1:7" x14ac:dyDescent="0.3">
      <c r="A102" s="71" t="s">
        <v>42</v>
      </c>
      <c r="B102" s="25">
        <v>7</v>
      </c>
      <c r="C102" s="25">
        <f>85%*B102</f>
        <v>5.95</v>
      </c>
      <c r="D102" s="25"/>
      <c r="E102" s="25"/>
      <c r="F102" s="25"/>
      <c r="G102" s="25">
        <f t="shared" si="15"/>
        <v>0</v>
      </c>
    </row>
    <row r="103" spans="1:7" x14ac:dyDescent="0.3">
      <c r="A103" s="71" t="s">
        <v>20</v>
      </c>
      <c r="B103" s="25">
        <v>0.25</v>
      </c>
      <c r="C103" s="25">
        <f>B103*48</f>
        <v>12</v>
      </c>
      <c r="D103" s="25">
        <f>12.7%*C103</f>
        <v>1.524</v>
      </c>
      <c r="E103" s="25">
        <f>11.5%*C103</f>
        <v>1.3800000000000001</v>
      </c>
      <c r="F103" s="25"/>
      <c r="G103" s="25">
        <f t="shared" si="15"/>
        <v>18.516000000000002</v>
      </c>
    </row>
    <row r="104" spans="1:7" x14ac:dyDescent="0.3">
      <c r="A104" s="38" t="s">
        <v>16</v>
      </c>
      <c r="B104" s="115">
        <v>160</v>
      </c>
      <c r="C104" s="116"/>
      <c r="D104" s="26">
        <f t="shared" ref="D104:F104" si="16">SUM(D97:D103)</f>
        <v>24.213599999999996</v>
      </c>
      <c r="E104" s="26">
        <f t="shared" si="16"/>
        <v>20.515199999999997</v>
      </c>
      <c r="F104" s="26">
        <f t="shared" si="16"/>
        <v>8.2949999999999999</v>
      </c>
      <c r="G104" s="26">
        <f>SUM(G97:G103)</f>
        <v>314.6712</v>
      </c>
    </row>
    <row r="106" spans="1:7" x14ac:dyDescent="0.3">
      <c r="A106" s="110" t="s">
        <v>84</v>
      </c>
      <c r="B106" s="110"/>
      <c r="C106" s="110"/>
      <c r="D106" s="110"/>
      <c r="E106" s="110"/>
      <c r="F106" s="110"/>
      <c r="G106" s="110"/>
    </row>
    <row r="107" spans="1:7" ht="36" x14ac:dyDescent="0.3">
      <c r="A107" s="111" t="s">
        <v>2</v>
      </c>
      <c r="B107" s="111" t="s">
        <v>3</v>
      </c>
      <c r="C107" s="111"/>
      <c r="D107" s="113" t="s">
        <v>4</v>
      </c>
      <c r="E107" s="113" t="s">
        <v>5</v>
      </c>
      <c r="F107" s="111" t="s">
        <v>6</v>
      </c>
      <c r="G107" s="34" t="s">
        <v>7</v>
      </c>
    </row>
    <row r="108" spans="1:7" x14ac:dyDescent="0.3">
      <c r="A108" s="111"/>
      <c r="B108" s="34" t="s">
        <v>8</v>
      </c>
      <c r="C108" s="34" t="s">
        <v>9</v>
      </c>
      <c r="D108" s="114"/>
      <c r="E108" s="114"/>
      <c r="F108" s="111"/>
      <c r="G108" s="34" t="s">
        <v>10</v>
      </c>
    </row>
    <row r="109" spans="1:7" x14ac:dyDescent="0.3">
      <c r="A109" s="71" t="s">
        <v>11</v>
      </c>
      <c r="B109" s="25">
        <v>70</v>
      </c>
      <c r="C109" s="25">
        <f>B109*100%</f>
        <v>70</v>
      </c>
      <c r="D109" s="25">
        <f>9.15%*C109</f>
        <v>6.4050000000000002</v>
      </c>
      <c r="E109" s="25">
        <f>0.8%*C109</f>
        <v>0.56000000000000005</v>
      </c>
      <c r="F109" s="25">
        <f>60%*C109</f>
        <v>42</v>
      </c>
      <c r="G109" s="25">
        <f>4*(D109+F109)+9*E109</f>
        <v>198.66</v>
      </c>
    </row>
    <row r="110" spans="1:7" x14ac:dyDescent="0.3">
      <c r="A110" s="71" t="s">
        <v>15</v>
      </c>
      <c r="B110" s="25">
        <v>2</v>
      </c>
      <c r="C110" s="25">
        <f>100%*B110</f>
        <v>2</v>
      </c>
      <c r="D110" s="25"/>
      <c r="E110" s="25"/>
      <c r="F110" s="25"/>
      <c r="G110" s="25">
        <f>4*(D110+F110)+9*E110</f>
        <v>0</v>
      </c>
    </row>
    <row r="111" spans="1:7" ht="36" x14ac:dyDescent="0.3">
      <c r="A111" s="71" t="s">
        <v>19</v>
      </c>
      <c r="B111" s="25">
        <v>5</v>
      </c>
      <c r="C111" s="25">
        <f>100%*B111</f>
        <v>5</v>
      </c>
      <c r="D111" s="25"/>
      <c r="E111" s="25">
        <f>72.57%*C111</f>
        <v>3.6284999999999994</v>
      </c>
      <c r="F111" s="25"/>
      <c r="G111" s="25">
        <f>4*(D111+F111)+9*E111</f>
        <v>32.656499999999994</v>
      </c>
    </row>
    <row r="112" spans="1:7" x14ac:dyDescent="0.3">
      <c r="A112" s="72" t="s">
        <v>16</v>
      </c>
      <c r="B112" s="123">
        <v>200</v>
      </c>
      <c r="C112" s="124"/>
      <c r="D112" s="36">
        <f t="shared" ref="D112:F112" si="17">SUM(D109:D111)</f>
        <v>6.4050000000000002</v>
      </c>
      <c r="E112" s="36">
        <f t="shared" si="17"/>
        <v>4.1884999999999994</v>
      </c>
      <c r="F112" s="36">
        <f t="shared" si="17"/>
        <v>42</v>
      </c>
      <c r="G112" s="36">
        <f>SUM(G109:G111)</f>
        <v>231.31649999999999</v>
      </c>
    </row>
    <row r="114" spans="1:9" x14ac:dyDescent="0.3">
      <c r="A114" s="110"/>
      <c r="B114" s="110"/>
      <c r="C114" s="110"/>
      <c r="D114" s="110"/>
      <c r="E114" s="110"/>
      <c r="F114" s="110"/>
      <c r="G114" s="110"/>
    </row>
    <row r="115" spans="1:9" ht="36" x14ac:dyDescent="0.3">
      <c r="A115" s="111" t="s">
        <v>2</v>
      </c>
      <c r="B115" s="111" t="s">
        <v>3</v>
      </c>
      <c r="C115" s="111"/>
      <c r="D115" s="113" t="s">
        <v>4</v>
      </c>
      <c r="E115" s="113" t="s">
        <v>5</v>
      </c>
      <c r="F115" s="111" t="s">
        <v>6</v>
      </c>
      <c r="G115" s="34" t="s">
        <v>7</v>
      </c>
    </row>
    <row r="116" spans="1:9" x14ac:dyDescent="0.3">
      <c r="A116" s="111"/>
      <c r="B116" s="34" t="s">
        <v>8</v>
      </c>
      <c r="C116" s="34" t="s">
        <v>9</v>
      </c>
      <c r="D116" s="114"/>
      <c r="E116" s="114"/>
      <c r="F116" s="111"/>
      <c r="G116" s="34" t="s">
        <v>10</v>
      </c>
    </row>
    <row r="117" spans="1:9" x14ac:dyDescent="0.3">
      <c r="A117" s="72" t="s">
        <v>40</v>
      </c>
      <c r="B117" s="26">
        <v>100</v>
      </c>
      <c r="C117" s="26">
        <f t="shared" ref="C117" si="18">100%*B117</f>
        <v>100</v>
      </c>
      <c r="D117" s="26">
        <f>2.8%*C117</f>
        <v>2.8</v>
      </c>
      <c r="E117" s="26">
        <f>3.2%*C117</f>
        <v>3.2</v>
      </c>
      <c r="F117" s="26">
        <f>4.7%*C117</f>
        <v>4.7</v>
      </c>
      <c r="G117" s="26">
        <f t="shared" ref="G117" si="19">4*(D117+F117)+9*E117</f>
        <v>58.8</v>
      </c>
    </row>
    <row r="118" spans="1:9" x14ac:dyDescent="0.3">
      <c r="A118" s="72" t="s">
        <v>13</v>
      </c>
      <c r="B118" s="26">
        <v>200</v>
      </c>
      <c r="C118" s="26">
        <f>B118*100%</f>
        <v>200</v>
      </c>
      <c r="D118" s="26">
        <f>C118*7.9%</f>
        <v>15.8</v>
      </c>
      <c r="E118" s="26">
        <f>C118*1%</f>
        <v>2</v>
      </c>
      <c r="F118" s="26">
        <f>C118*49.6%</f>
        <v>99.2</v>
      </c>
      <c r="G118" s="26">
        <f>4*(D118+F118)+9*E118</f>
        <v>478</v>
      </c>
    </row>
    <row r="119" spans="1:9" x14ac:dyDescent="0.3">
      <c r="A119" s="38" t="s">
        <v>67</v>
      </c>
      <c r="B119" s="119">
        <f>B104+B112+B117+B118</f>
        <v>660</v>
      </c>
      <c r="C119" s="120"/>
      <c r="D119" s="26">
        <f>D104+D112</f>
        <v>30.618599999999997</v>
      </c>
      <c r="E119" s="26">
        <f>E104+E112</f>
        <v>24.703699999999998</v>
      </c>
      <c r="F119" s="26">
        <f>F104+F112</f>
        <v>50.295000000000002</v>
      </c>
      <c r="G119" s="26">
        <f>G104+G112+G117+G118</f>
        <v>1082.7876999999999</v>
      </c>
    </row>
    <row r="122" spans="1:9" x14ac:dyDescent="0.3">
      <c r="A122" s="53" t="s">
        <v>68</v>
      </c>
      <c r="B122" s="121">
        <f>B29+B89+B119</f>
        <v>3110</v>
      </c>
      <c r="C122" s="121"/>
      <c r="D122" s="31">
        <f>D29+D89+D119</f>
        <v>113.27290000000001</v>
      </c>
      <c r="E122" s="31">
        <f>E29+E89+E119</f>
        <v>112.68129999999999</v>
      </c>
      <c r="F122" s="31">
        <f>F29+F89+F119</f>
        <v>395.18440000000004</v>
      </c>
      <c r="G122" s="31">
        <f>G29+G89+G119</f>
        <v>4448.5969000000005</v>
      </c>
    </row>
    <row r="125" spans="1:9" x14ac:dyDescent="0.35">
      <c r="A125" s="69" t="s">
        <v>78</v>
      </c>
      <c r="G125" s="33">
        <f>G29/G122</f>
        <v>0.27802002020007699</v>
      </c>
      <c r="H125" s="19"/>
      <c r="I125" s="19"/>
    </row>
    <row r="126" spans="1:9" x14ac:dyDescent="0.35">
      <c r="A126" s="69" t="s">
        <v>79</v>
      </c>
      <c r="G126" s="33">
        <f>G89/G122</f>
        <v>0.47858015636345924</v>
      </c>
    </row>
    <row r="127" spans="1:9" x14ac:dyDescent="0.35">
      <c r="A127" s="69" t="s">
        <v>80</v>
      </c>
      <c r="G127" s="33">
        <f>G119/G122</f>
        <v>0.24339982343646369</v>
      </c>
    </row>
    <row r="128" spans="1:9" s="19" customFormat="1" x14ac:dyDescent="0.35">
      <c r="A128" s="73"/>
      <c r="B128" s="24"/>
      <c r="C128" s="24"/>
      <c r="D128" s="24"/>
      <c r="E128" s="24"/>
      <c r="F128" s="24"/>
      <c r="G128" s="24"/>
      <c r="H128" s="12"/>
      <c r="I128" s="12"/>
    </row>
  </sheetData>
  <mergeCells count="75">
    <mergeCell ref="A1:G1"/>
    <mergeCell ref="B119:C119"/>
    <mergeCell ref="B122:C122"/>
    <mergeCell ref="B25:C25"/>
    <mergeCell ref="B58:C58"/>
    <mergeCell ref="B81:C81"/>
    <mergeCell ref="B112:C112"/>
    <mergeCell ref="A114:G114"/>
    <mergeCell ref="A115:A116"/>
    <mergeCell ref="B115:C115"/>
    <mergeCell ref="D115:D116"/>
    <mergeCell ref="E115:E116"/>
    <mergeCell ref="F115:F116"/>
    <mergeCell ref="B104:C104"/>
    <mergeCell ref="A106:G106"/>
    <mergeCell ref="A107:A108"/>
    <mergeCell ref="B107:C107"/>
    <mergeCell ref="D107:D108"/>
    <mergeCell ref="E107:E108"/>
    <mergeCell ref="F107:F108"/>
    <mergeCell ref="A94:G94"/>
    <mergeCell ref="A95:A96"/>
    <mergeCell ref="B95:C95"/>
    <mergeCell ref="D95:D96"/>
    <mergeCell ref="E95:E96"/>
    <mergeCell ref="F95:F96"/>
    <mergeCell ref="B89:C89"/>
    <mergeCell ref="B73:C73"/>
    <mergeCell ref="A75:G75"/>
    <mergeCell ref="A76:A77"/>
    <mergeCell ref="B76:C76"/>
    <mergeCell ref="D76:D77"/>
    <mergeCell ref="E76:E77"/>
    <mergeCell ref="F76:F77"/>
    <mergeCell ref="A86:A87"/>
    <mergeCell ref="B86:C86"/>
    <mergeCell ref="D86:D87"/>
    <mergeCell ref="E86:E87"/>
    <mergeCell ref="F86:F87"/>
    <mergeCell ref="A62:G62"/>
    <mergeCell ref="A63:A64"/>
    <mergeCell ref="B63:C63"/>
    <mergeCell ref="D63:D64"/>
    <mergeCell ref="E63:E64"/>
    <mergeCell ref="F63:F64"/>
    <mergeCell ref="B42:C42"/>
    <mergeCell ref="B44:G44"/>
    <mergeCell ref="A45:G45"/>
    <mergeCell ref="A46:A47"/>
    <mergeCell ref="B46:C46"/>
    <mergeCell ref="D46:D47"/>
    <mergeCell ref="E46:E47"/>
    <mergeCell ref="F46:F47"/>
    <mergeCell ref="B29:C29"/>
    <mergeCell ref="A32:G32"/>
    <mergeCell ref="A33:A34"/>
    <mergeCell ref="B33:C33"/>
    <mergeCell ref="D33:D34"/>
    <mergeCell ref="E33:E34"/>
    <mergeCell ref="F33:F34"/>
    <mergeCell ref="A20:G20"/>
    <mergeCell ref="B15:C15"/>
    <mergeCell ref="A21:A22"/>
    <mergeCell ref="B21:C21"/>
    <mergeCell ref="D21:D22"/>
    <mergeCell ref="E21:E22"/>
    <mergeCell ref="F21:F22"/>
    <mergeCell ref="A2:G3"/>
    <mergeCell ref="A4:G4"/>
    <mergeCell ref="A6:G6"/>
    <mergeCell ref="A7:A8"/>
    <mergeCell ref="B7:C7"/>
    <mergeCell ref="D7:D8"/>
    <mergeCell ref="E7:E8"/>
    <mergeCell ref="F7:F8"/>
  </mergeCells>
  <pageMargins left="0.2" right="0.2" top="0.41" bottom="1" header="0.5" footer="0.5"/>
  <pageSetup paperSize="9" scale="78" orientation="portrait" r:id="rId1"/>
  <headerFooter alignWithMargins="0"/>
  <rowBreaks count="1" manualBreakCount="1">
    <brk id="42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3"/>
  <sheetViews>
    <sheetView view="pageBreakPreview" zoomScale="106" zoomScaleNormal="100" zoomScaleSheetLayoutView="106" workbookViewId="0">
      <selection sqref="A1:G1"/>
    </sheetView>
  </sheetViews>
  <sheetFormatPr defaultRowHeight="18" x14ac:dyDescent="0.35"/>
  <cols>
    <col min="1" max="1" width="34.85546875" style="84" bestFit="1" customWidth="1"/>
    <col min="2" max="2" width="12" style="24" customWidth="1"/>
    <col min="3" max="3" width="12.5703125" style="24" customWidth="1"/>
    <col min="4" max="4" width="12.28515625" style="24" customWidth="1"/>
    <col min="5" max="5" width="11.28515625" style="24" customWidth="1"/>
    <col min="6" max="6" width="16.140625" style="24" customWidth="1"/>
    <col min="7" max="7" width="20.42578125" style="24" customWidth="1"/>
    <col min="8" max="238" width="9.140625" style="12"/>
    <col min="239" max="239" width="34.85546875" style="12" bestFit="1" customWidth="1"/>
    <col min="240" max="240" width="12" style="12" customWidth="1"/>
    <col min="241" max="241" width="12.5703125" style="12" customWidth="1"/>
    <col min="242" max="242" width="12.28515625" style="12" customWidth="1"/>
    <col min="243" max="243" width="11.28515625" style="12" customWidth="1"/>
    <col min="244" max="244" width="16.140625" style="12" customWidth="1"/>
    <col min="245" max="245" width="20.42578125" style="12" customWidth="1"/>
    <col min="246" max="494" width="9.140625" style="12"/>
    <col min="495" max="495" width="34.85546875" style="12" bestFit="1" customWidth="1"/>
    <col min="496" max="496" width="12" style="12" customWidth="1"/>
    <col min="497" max="497" width="12.5703125" style="12" customWidth="1"/>
    <col min="498" max="498" width="12.28515625" style="12" customWidth="1"/>
    <col min="499" max="499" width="11.28515625" style="12" customWidth="1"/>
    <col min="500" max="500" width="16.140625" style="12" customWidth="1"/>
    <col min="501" max="501" width="20.42578125" style="12" customWidth="1"/>
    <col min="502" max="750" width="9.140625" style="12"/>
    <col min="751" max="751" width="34.85546875" style="12" bestFit="1" customWidth="1"/>
    <col min="752" max="752" width="12" style="12" customWidth="1"/>
    <col min="753" max="753" width="12.5703125" style="12" customWidth="1"/>
    <col min="754" max="754" width="12.28515625" style="12" customWidth="1"/>
    <col min="755" max="755" width="11.28515625" style="12" customWidth="1"/>
    <col min="756" max="756" width="16.140625" style="12" customWidth="1"/>
    <col min="757" max="757" width="20.42578125" style="12" customWidth="1"/>
    <col min="758" max="1006" width="9.140625" style="12"/>
    <col min="1007" max="1007" width="34.85546875" style="12" bestFit="1" customWidth="1"/>
    <col min="1008" max="1008" width="12" style="12" customWidth="1"/>
    <col min="1009" max="1009" width="12.5703125" style="12" customWidth="1"/>
    <col min="1010" max="1010" width="12.28515625" style="12" customWidth="1"/>
    <col min="1011" max="1011" width="11.28515625" style="12" customWidth="1"/>
    <col min="1012" max="1012" width="16.140625" style="12" customWidth="1"/>
    <col min="1013" max="1013" width="20.42578125" style="12" customWidth="1"/>
    <col min="1014" max="1262" width="9.140625" style="12"/>
    <col min="1263" max="1263" width="34.85546875" style="12" bestFit="1" customWidth="1"/>
    <col min="1264" max="1264" width="12" style="12" customWidth="1"/>
    <col min="1265" max="1265" width="12.5703125" style="12" customWidth="1"/>
    <col min="1266" max="1266" width="12.28515625" style="12" customWidth="1"/>
    <col min="1267" max="1267" width="11.28515625" style="12" customWidth="1"/>
    <col min="1268" max="1268" width="16.140625" style="12" customWidth="1"/>
    <col min="1269" max="1269" width="20.42578125" style="12" customWidth="1"/>
    <col min="1270" max="1518" width="9.140625" style="12"/>
    <col min="1519" max="1519" width="34.85546875" style="12" bestFit="1" customWidth="1"/>
    <col min="1520" max="1520" width="12" style="12" customWidth="1"/>
    <col min="1521" max="1521" width="12.5703125" style="12" customWidth="1"/>
    <col min="1522" max="1522" width="12.28515625" style="12" customWidth="1"/>
    <col min="1523" max="1523" width="11.28515625" style="12" customWidth="1"/>
    <col min="1524" max="1524" width="16.140625" style="12" customWidth="1"/>
    <col min="1525" max="1525" width="20.42578125" style="12" customWidth="1"/>
    <col min="1526" max="1774" width="9.140625" style="12"/>
    <col min="1775" max="1775" width="34.85546875" style="12" bestFit="1" customWidth="1"/>
    <col min="1776" max="1776" width="12" style="12" customWidth="1"/>
    <col min="1777" max="1777" width="12.5703125" style="12" customWidth="1"/>
    <col min="1778" max="1778" width="12.28515625" style="12" customWidth="1"/>
    <col min="1779" max="1779" width="11.28515625" style="12" customWidth="1"/>
    <col min="1780" max="1780" width="16.140625" style="12" customWidth="1"/>
    <col min="1781" max="1781" width="20.42578125" style="12" customWidth="1"/>
    <col min="1782" max="2030" width="9.140625" style="12"/>
    <col min="2031" max="2031" width="34.85546875" style="12" bestFit="1" customWidth="1"/>
    <col min="2032" max="2032" width="12" style="12" customWidth="1"/>
    <col min="2033" max="2033" width="12.5703125" style="12" customWidth="1"/>
    <col min="2034" max="2034" width="12.28515625" style="12" customWidth="1"/>
    <col min="2035" max="2035" width="11.28515625" style="12" customWidth="1"/>
    <col min="2036" max="2036" width="16.140625" style="12" customWidth="1"/>
    <col min="2037" max="2037" width="20.42578125" style="12" customWidth="1"/>
    <col min="2038" max="2286" width="9.140625" style="12"/>
    <col min="2287" max="2287" width="34.85546875" style="12" bestFit="1" customWidth="1"/>
    <col min="2288" max="2288" width="12" style="12" customWidth="1"/>
    <col min="2289" max="2289" width="12.5703125" style="12" customWidth="1"/>
    <col min="2290" max="2290" width="12.28515625" style="12" customWidth="1"/>
    <col min="2291" max="2291" width="11.28515625" style="12" customWidth="1"/>
    <col min="2292" max="2292" width="16.140625" style="12" customWidth="1"/>
    <col min="2293" max="2293" width="20.42578125" style="12" customWidth="1"/>
    <col min="2294" max="2542" width="9.140625" style="12"/>
    <col min="2543" max="2543" width="34.85546875" style="12" bestFit="1" customWidth="1"/>
    <col min="2544" max="2544" width="12" style="12" customWidth="1"/>
    <col min="2545" max="2545" width="12.5703125" style="12" customWidth="1"/>
    <col min="2546" max="2546" width="12.28515625" style="12" customWidth="1"/>
    <col min="2547" max="2547" width="11.28515625" style="12" customWidth="1"/>
    <col min="2548" max="2548" width="16.140625" style="12" customWidth="1"/>
    <col min="2549" max="2549" width="20.42578125" style="12" customWidth="1"/>
    <col min="2550" max="2798" width="9.140625" style="12"/>
    <col min="2799" max="2799" width="34.85546875" style="12" bestFit="1" customWidth="1"/>
    <col min="2800" max="2800" width="12" style="12" customWidth="1"/>
    <col min="2801" max="2801" width="12.5703125" style="12" customWidth="1"/>
    <col min="2802" max="2802" width="12.28515625" style="12" customWidth="1"/>
    <col min="2803" max="2803" width="11.28515625" style="12" customWidth="1"/>
    <col min="2804" max="2804" width="16.140625" style="12" customWidth="1"/>
    <col min="2805" max="2805" width="20.42578125" style="12" customWidth="1"/>
    <col min="2806" max="3054" width="9.140625" style="12"/>
    <col min="3055" max="3055" width="34.85546875" style="12" bestFit="1" customWidth="1"/>
    <col min="3056" max="3056" width="12" style="12" customWidth="1"/>
    <col min="3057" max="3057" width="12.5703125" style="12" customWidth="1"/>
    <col min="3058" max="3058" width="12.28515625" style="12" customWidth="1"/>
    <col min="3059" max="3059" width="11.28515625" style="12" customWidth="1"/>
    <col min="3060" max="3060" width="16.140625" style="12" customWidth="1"/>
    <col min="3061" max="3061" width="20.42578125" style="12" customWidth="1"/>
    <col min="3062" max="3310" width="9.140625" style="12"/>
    <col min="3311" max="3311" width="34.85546875" style="12" bestFit="1" customWidth="1"/>
    <col min="3312" max="3312" width="12" style="12" customWidth="1"/>
    <col min="3313" max="3313" width="12.5703125" style="12" customWidth="1"/>
    <col min="3314" max="3314" width="12.28515625" style="12" customWidth="1"/>
    <col min="3315" max="3315" width="11.28515625" style="12" customWidth="1"/>
    <col min="3316" max="3316" width="16.140625" style="12" customWidth="1"/>
    <col min="3317" max="3317" width="20.42578125" style="12" customWidth="1"/>
    <col min="3318" max="3566" width="9.140625" style="12"/>
    <col min="3567" max="3567" width="34.85546875" style="12" bestFit="1" customWidth="1"/>
    <col min="3568" max="3568" width="12" style="12" customWidth="1"/>
    <col min="3569" max="3569" width="12.5703125" style="12" customWidth="1"/>
    <col min="3570" max="3570" width="12.28515625" style="12" customWidth="1"/>
    <col min="3571" max="3571" width="11.28515625" style="12" customWidth="1"/>
    <col min="3572" max="3572" width="16.140625" style="12" customWidth="1"/>
    <col min="3573" max="3573" width="20.42578125" style="12" customWidth="1"/>
    <col min="3574" max="3822" width="9.140625" style="12"/>
    <col min="3823" max="3823" width="34.85546875" style="12" bestFit="1" customWidth="1"/>
    <col min="3824" max="3824" width="12" style="12" customWidth="1"/>
    <col min="3825" max="3825" width="12.5703125" style="12" customWidth="1"/>
    <col min="3826" max="3826" width="12.28515625" style="12" customWidth="1"/>
    <col min="3827" max="3827" width="11.28515625" style="12" customWidth="1"/>
    <col min="3828" max="3828" width="16.140625" style="12" customWidth="1"/>
    <col min="3829" max="3829" width="20.42578125" style="12" customWidth="1"/>
    <col min="3830" max="4078" width="9.140625" style="12"/>
    <col min="4079" max="4079" width="34.85546875" style="12" bestFit="1" customWidth="1"/>
    <col min="4080" max="4080" width="12" style="12" customWidth="1"/>
    <col min="4081" max="4081" width="12.5703125" style="12" customWidth="1"/>
    <col min="4082" max="4082" width="12.28515625" style="12" customWidth="1"/>
    <col min="4083" max="4083" width="11.28515625" style="12" customWidth="1"/>
    <col min="4084" max="4084" width="16.140625" style="12" customWidth="1"/>
    <col min="4085" max="4085" width="20.42578125" style="12" customWidth="1"/>
    <col min="4086" max="4334" width="9.140625" style="12"/>
    <col min="4335" max="4335" width="34.85546875" style="12" bestFit="1" customWidth="1"/>
    <col min="4336" max="4336" width="12" style="12" customWidth="1"/>
    <col min="4337" max="4337" width="12.5703125" style="12" customWidth="1"/>
    <col min="4338" max="4338" width="12.28515625" style="12" customWidth="1"/>
    <col min="4339" max="4339" width="11.28515625" style="12" customWidth="1"/>
    <col min="4340" max="4340" width="16.140625" style="12" customWidth="1"/>
    <col min="4341" max="4341" width="20.42578125" style="12" customWidth="1"/>
    <col min="4342" max="4590" width="9.140625" style="12"/>
    <col min="4591" max="4591" width="34.85546875" style="12" bestFit="1" customWidth="1"/>
    <col min="4592" max="4592" width="12" style="12" customWidth="1"/>
    <col min="4593" max="4593" width="12.5703125" style="12" customWidth="1"/>
    <col min="4594" max="4594" width="12.28515625" style="12" customWidth="1"/>
    <col min="4595" max="4595" width="11.28515625" style="12" customWidth="1"/>
    <col min="4596" max="4596" width="16.140625" style="12" customWidth="1"/>
    <col min="4597" max="4597" width="20.42578125" style="12" customWidth="1"/>
    <col min="4598" max="4846" width="9.140625" style="12"/>
    <col min="4847" max="4847" width="34.85546875" style="12" bestFit="1" customWidth="1"/>
    <col min="4848" max="4848" width="12" style="12" customWidth="1"/>
    <col min="4849" max="4849" width="12.5703125" style="12" customWidth="1"/>
    <col min="4850" max="4850" width="12.28515625" style="12" customWidth="1"/>
    <col min="4851" max="4851" width="11.28515625" style="12" customWidth="1"/>
    <col min="4852" max="4852" width="16.140625" style="12" customWidth="1"/>
    <col min="4853" max="4853" width="20.42578125" style="12" customWidth="1"/>
    <col min="4854" max="5102" width="9.140625" style="12"/>
    <col min="5103" max="5103" width="34.85546875" style="12" bestFit="1" customWidth="1"/>
    <col min="5104" max="5104" width="12" style="12" customWidth="1"/>
    <col min="5105" max="5105" width="12.5703125" style="12" customWidth="1"/>
    <col min="5106" max="5106" width="12.28515625" style="12" customWidth="1"/>
    <col min="5107" max="5107" width="11.28515625" style="12" customWidth="1"/>
    <col min="5108" max="5108" width="16.140625" style="12" customWidth="1"/>
    <col min="5109" max="5109" width="20.42578125" style="12" customWidth="1"/>
    <col min="5110" max="5358" width="9.140625" style="12"/>
    <col min="5359" max="5359" width="34.85546875" style="12" bestFit="1" customWidth="1"/>
    <col min="5360" max="5360" width="12" style="12" customWidth="1"/>
    <col min="5361" max="5361" width="12.5703125" style="12" customWidth="1"/>
    <col min="5362" max="5362" width="12.28515625" style="12" customWidth="1"/>
    <col min="5363" max="5363" width="11.28515625" style="12" customWidth="1"/>
    <col min="5364" max="5364" width="16.140625" style="12" customWidth="1"/>
    <col min="5365" max="5365" width="20.42578125" style="12" customWidth="1"/>
    <col min="5366" max="5614" width="9.140625" style="12"/>
    <col min="5615" max="5615" width="34.85546875" style="12" bestFit="1" customWidth="1"/>
    <col min="5616" max="5616" width="12" style="12" customWidth="1"/>
    <col min="5617" max="5617" width="12.5703125" style="12" customWidth="1"/>
    <col min="5618" max="5618" width="12.28515625" style="12" customWidth="1"/>
    <col min="5619" max="5619" width="11.28515625" style="12" customWidth="1"/>
    <col min="5620" max="5620" width="16.140625" style="12" customWidth="1"/>
    <col min="5621" max="5621" width="20.42578125" style="12" customWidth="1"/>
    <col min="5622" max="5870" width="9.140625" style="12"/>
    <col min="5871" max="5871" width="34.85546875" style="12" bestFit="1" customWidth="1"/>
    <col min="5872" max="5872" width="12" style="12" customWidth="1"/>
    <col min="5873" max="5873" width="12.5703125" style="12" customWidth="1"/>
    <col min="5874" max="5874" width="12.28515625" style="12" customWidth="1"/>
    <col min="5875" max="5875" width="11.28515625" style="12" customWidth="1"/>
    <col min="5876" max="5876" width="16.140625" style="12" customWidth="1"/>
    <col min="5877" max="5877" width="20.42578125" style="12" customWidth="1"/>
    <col min="5878" max="6126" width="9.140625" style="12"/>
    <col min="6127" max="6127" width="34.85546875" style="12" bestFit="1" customWidth="1"/>
    <col min="6128" max="6128" width="12" style="12" customWidth="1"/>
    <col min="6129" max="6129" width="12.5703125" style="12" customWidth="1"/>
    <col min="6130" max="6130" width="12.28515625" style="12" customWidth="1"/>
    <col min="6131" max="6131" width="11.28515625" style="12" customWidth="1"/>
    <col min="6132" max="6132" width="16.140625" style="12" customWidth="1"/>
    <col min="6133" max="6133" width="20.42578125" style="12" customWidth="1"/>
    <col min="6134" max="6382" width="9.140625" style="12"/>
    <col min="6383" max="6383" width="34.85546875" style="12" bestFit="1" customWidth="1"/>
    <col min="6384" max="6384" width="12" style="12" customWidth="1"/>
    <col min="6385" max="6385" width="12.5703125" style="12" customWidth="1"/>
    <col min="6386" max="6386" width="12.28515625" style="12" customWidth="1"/>
    <col min="6387" max="6387" width="11.28515625" style="12" customWidth="1"/>
    <col min="6388" max="6388" width="16.140625" style="12" customWidth="1"/>
    <col min="6389" max="6389" width="20.42578125" style="12" customWidth="1"/>
    <col min="6390" max="6638" width="9.140625" style="12"/>
    <col min="6639" max="6639" width="34.85546875" style="12" bestFit="1" customWidth="1"/>
    <col min="6640" max="6640" width="12" style="12" customWidth="1"/>
    <col min="6641" max="6641" width="12.5703125" style="12" customWidth="1"/>
    <col min="6642" max="6642" width="12.28515625" style="12" customWidth="1"/>
    <col min="6643" max="6643" width="11.28515625" style="12" customWidth="1"/>
    <col min="6644" max="6644" width="16.140625" style="12" customWidth="1"/>
    <col min="6645" max="6645" width="20.42578125" style="12" customWidth="1"/>
    <col min="6646" max="6894" width="9.140625" style="12"/>
    <col min="6895" max="6895" width="34.85546875" style="12" bestFit="1" customWidth="1"/>
    <col min="6896" max="6896" width="12" style="12" customWidth="1"/>
    <col min="6897" max="6897" width="12.5703125" style="12" customWidth="1"/>
    <col min="6898" max="6898" width="12.28515625" style="12" customWidth="1"/>
    <col min="6899" max="6899" width="11.28515625" style="12" customWidth="1"/>
    <col min="6900" max="6900" width="16.140625" style="12" customWidth="1"/>
    <col min="6901" max="6901" width="20.42578125" style="12" customWidth="1"/>
    <col min="6902" max="7150" width="9.140625" style="12"/>
    <col min="7151" max="7151" width="34.85546875" style="12" bestFit="1" customWidth="1"/>
    <col min="7152" max="7152" width="12" style="12" customWidth="1"/>
    <col min="7153" max="7153" width="12.5703125" style="12" customWidth="1"/>
    <col min="7154" max="7154" width="12.28515625" style="12" customWidth="1"/>
    <col min="7155" max="7155" width="11.28515625" style="12" customWidth="1"/>
    <col min="7156" max="7156" width="16.140625" style="12" customWidth="1"/>
    <col min="7157" max="7157" width="20.42578125" style="12" customWidth="1"/>
    <col min="7158" max="7406" width="9.140625" style="12"/>
    <col min="7407" max="7407" width="34.85546875" style="12" bestFit="1" customWidth="1"/>
    <col min="7408" max="7408" width="12" style="12" customWidth="1"/>
    <col min="7409" max="7409" width="12.5703125" style="12" customWidth="1"/>
    <col min="7410" max="7410" width="12.28515625" style="12" customWidth="1"/>
    <col min="7411" max="7411" width="11.28515625" style="12" customWidth="1"/>
    <col min="7412" max="7412" width="16.140625" style="12" customWidth="1"/>
    <col min="7413" max="7413" width="20.42578125" style="12" customWidth="1"/>
    <col min="7414" max="7662" width="9.140625" style="12"/>
    <col min="7663" max="7663" width="34.85546875" style="12" bestFit="1" customWidth="1"/>
    <col min="7664" max="7664" width="12" style="12" customWidth="1"/>
    <col min="7665" max="7665" width="12.5703125" style="12" customWidth="1"/>
    <col min="7666" max="7666" width="12.28515625" style="12" customWidth="1"/>
    <col min="7667" max="7667" width="11.28515625" style="12" customWidth="1"/>
    <col min="7668" max="7668" width="16.140625" style="12" customWidth="1"/>
    <col min="7669" max="7669" width="20.42578125" style="12" customWidth="1"/>
    <col min="7670" max="7918" width="9.140625" style="12"/>
    <col min="7919" max="7919" width="34.85546875" style="12" bestFit="1" customWidth="1"/>
    <col min="7920" max="7920" width="12" style="12" customWidth="1"/>
    <col min="7921" max="7921" width="12.5703125" style="12" customWidth="1"/>
    <col min="7922" max="7922" width="12.28515625" style="12" customWidth="1"/>
    <col min="7923" max="7923" width="11.28515625" style="12" customWidth="1"/>
    <col min="7924" max="7924" width="16.140625" style="12" customWidth="1"/>
    <col min="7925" max="7925" width="20.42578125" style="12" customWidth="1"/>
    <col min="7926" max="8174" width="9.140625" style="12"/>
    <col min="8175" max="8175" width="34.85546875" style="12" bestFit="1" customWidth="1"/>
    <col min="8176" max="8176" width="12" style="12" customWidth="1"/>
    <col min="8177" max="8177" width="12.5703125" style="12" customWidth="1"/>
    <col min="8178" max="8178" width="12.28515625" style="12" customWidth="1"/>
    <col min="8179" max="8179" width="11.28515625" style="12" customWidth="1"/>
    <col min="8180" max="8180" width="16.140625" style="12" customWidth="1"/>
    <col min="8181" max="8181" width="20.42578125" style="12" customWidth="1"/>
    <col min="8182" max="8430" width="9.140625" style="12"/>
    <col min="8431" max="8431" width="34.85546875" style="12" bestFit="1" customWidth="1"/>
    <col min="8432" max="8432" width="12" style="12" customWidth="1"/>
    <col min="8433" max="8433" width="12.5703125" style="12" customWidth="1"/>
    <col min="8434" max="8434" width="12.28515625" style="12" customWidth="1"/>
    <col min="8435" max="8435" width="11.28515625" style="12" customWidth="1"/>
    <col min="8436" max="8436" width="16.140625" style="12" customWidth="1"/>
    <col min="8437" max="8437" width="20.42578125" style="12" customWidth="1"/>
    <col min="8438" max="8686" width="9.140625" style="12"/>
    <col min="8687" max="8687" width="34.85546875" style="12" bestFit="1" customWidth="1"/>
    <col min="8688" max="8688" width="12" style="12" customWidth="1"/>
    <col min="8689" max="8689" width="12.5703125" style="12" customWidth="1"/>
    <col min="8690" max="8690" width="12.28515625" style="12" customWidth="1"/>
    <col min="8691" max="8691" width="11.28515625" style="12" customWidth="1"/>
    <col min="8692" max="8692" width="16.140625" style="12" customWidth="1"/>
    <col min="8693" max="8693" width="20.42578125" style="12" customWidth="1"/>
    <col min="8694" max="8942" width="9.140625" style="12"/>
    <col min="8943" max="8943" width="34.85546875" style="12" bestFit="1" customWidth="1"/>
    <col min="8944" max="8944" width="12" style="12" customWidth="1"/>
    <col min="8945" max="8945" width="12.5703125" style="12" customWidth="1"/>
    <col min="8946" max="8946" width="12.28515625" style="12" customWidth="1"/>
    <col min="8947" max="8947" width="11.28515625" style="12" customWidth="1"/>
    <col min="8948" max="8948" width="16.140625" style="12" customWidth="1"/>
    <col min="8949" max="8949" width="20.42578125" style="12" customWidth="1"/>
    <col min="8950" max="9198" width="9.140625" style="12"/>
    <col min="9199" max="9199" width="34.85546875" style="12" bestFit="1" customWidth="1"/>
    <col min="9200" max="9200" width="12" style="12" customWidth="1"/>
    <col min="9201" max="9201" width="12.5703125" style="12" customWidth="1"/>
    <col min="9202" max="9202" width="12.28515625" style="12" customWidth="1"/>
    <col min="9203" max="9203" width="11.28515625" style="12" customWidth="1"/>
    <col min="9204" max="9204" width="16.140625" style="12" customWidth="1"/>
    <col min="9205" max="9205" width="20.42578125" style="12" customWidth="1"/>
    <col min="9206" max="9454" width="9.140625" style="12"/>
    <col min="9455" max="9455" width="34.85546875" style="12" bestFit="1" customWidth="1"/>
    <col min="9456" max="9456" width="12" style="12" customWidth="1"/>
    <col min="9457" max="9457" width="12.5703125" style="12" customWidth="1"/>
    <col min="9458" max="9458" width="12.28515625" style="12" customWidth="1"/>
    <col min="9459" max="9459" width="11.28515625" style="12" customWidth="1"/>
    <col min="9460" max="9460" width="16.140625" style="12" customWidth="1"/>
    <col min="9461" max="9461" width="20.42578125" style="12" customWidth="1"/>
    <col min="9462" max="9710" width="9.140625" style="12"/>
    <col min="9711" max="9711" width="34.85546875" style="12" bestFit="1" customWidth="1"/>
    <col min="9712" max="9712" width="12" style="12" customWidth="1"/>
    <col min="9713" max="9713" width="12.5703125" style="12" customWidth="1"/>
    <col min="9714" max="9714" width="12.28515625" style="12" customWidth="1"/>
    <col min="9715" max="9715" width="11.28515625" style="12" customWidth="1"/>
    <col min="9716" max="9716" width="16.140625" style="12" customWidth="1"/>
    <col min="9717" max="9717" width="20.42578125" style="12" customWidth="1"/>
    <col min="9718" max="9966" width="9.140625" style="12"/>
    <col min="9967" max="9967" width="34.85546875" style="12" bestFit="1" customWidth="1"/>
    <col min="9968" max="9968" width="12" style="12" customWidth="1"/>
    <col min="9969" max="9969" width="12.5703125" style="12" customWidth="1"/>
    <col min="9970" max="9970" width="12.28515625" style="12" customWidth="1"/>
    <col min="9971" max="9971" width="11.28515625" style="12" customWidth="1"/>
    <col min="9972" max="9972" width="16.140625" style="12" customWidth="1"/>
    <col min="9973" max="9973" width="20.42578125" style="12" customWidth="1"/>
    <col min="9974" max="10222" width="9.140625" style="12"/>
    <col min="10223" max="10223" width="34.85546875" style="12" bestFit="1" customWidth="1"/>
    <col min="10224" max="10224" width="12" style="12" customWidth="1"/>
    <col min="10225" max="10225" width="12.5703125" style="12" customWidth="1"/>
    <col min="10226" max="10226" width="12.28515625" style="12" customWidth="1"/>
    <col min="10227" max="10227" width="11.28515625" style="12" customWidth="1"/>
    <col min="10228" max="10228" width="16.140625" style="12" customWidth="1"/>
    <col min="10229" max="10229" width="20.42578125" style="12" customWidth="1"/>
    <col min="10230" max="10478" width="9.140625" style="12"/>
    <col min="10479" max="10479" width="34.85546875" style="12" bestFit="1" customWidth="1"/>
    <col min="10480" max="10480" width="12" style="12" customWidth="1"/>
    <col min="10481" max="10481" width="12.5703125" style="12" customWidth="1"/>
    <col min="10482" max="10482" width="12.28515625" style="12" customWidth="1"/>
    <col min="10483" max="10483" width="11.28515625" style="12" customWidth="1"/>
    <col min="10484" max="10484" width="16.140625" style="12" customWidth="1"/>
    <col min="10485" max="10485" width="20.42578125" style="12" customWidth="1"/>
    <col min="10486" max="10734" width="9.140625" style="12"/>
    <col min="10735" max="10735" width="34.85546875" style="12" bestFit="1" customWidth="1"/>
    <col min="10736" max="10736" width="12" style="12" customWidth="1"/>
    <col min="10737" max="10737" width="12.5703125" style="12" customWidth="1"/>
    <col min="10738" max="10738" width="12.28515625" style="12" customWidth="1"/>
    <col min="10739" max="10739" width="11.28515625" style="12" customWidth="1"/>
    <col min="10740" max="10740" width="16.140625" style="12" customWidth="1"/>
    <col min="10741" max="10741" width="20.42578125" style="12" customWidth="1"/>
    <col min="10742" max="10990" width="9.140625" style="12"/>
    <col min="10991" max="10991" width="34.85546875" style="12" bestFit="1" customWidth="1"/>
    <col min="10992" max="10992" width="12" style="12" customWidth="1"/>
    <col min="10993" max="10993" width="12.5703125" style="12" customWidth="1"/>
    <col min="10994" max="10994" width="12.28515625" style="12" customWidth="1"/>
    <col min="10995" max="10995" width="11.28515625" style="12" customWidth="1"/>
    <col min="10996" max="10996" width="16.140625" style="12" customWidth="1"/>
    <col min="10997" max="10997" width="20.42578125" style="12" customWidth="1"/>
    <col min="10998" max="11246" width="9.140625" style="12"/>
    <col min="11247" max="11247" width="34.85546875" style="12" bestFit="1" customWidth="1"/>
    <col min="11248" max="11248" width="12" style="12" customWidth="1"/>
    <col min="11249" max="11249" width="12.5703125" style="12" customWidth="1"/>
    <col min="11250" max="11250" width="12.28515625" style="12" customWidth="1"/>
    <col min="11251" max="11251" width="11.28515625" style="12" customWidth="1"/>
    <col min="11252" max="11252" width="16.140625" style="12" customWidth="1"/>
    <col min="11253" max="11253" width="20.42578125" style="12" customWidth="1"/>
    <col min="11254" max="11502" width="9.140625" style="12"/>
    <col min="11503" max="11503" width="34.85546875" style="12" bestFit="1" customWidth="1"/>
    <col min="11504" max="11504" width="12" style="12" customWidth="1"/>
    <col min="11505" max="11505" width="12.5703125" style="12" customWidth="1"/>
    <col min="11506" max="11506" width="12.28515625" style="12" customWidth="1"/>
    <col min="11507" max="11507" width="11.28515625" style="12" customWidth="1"/>
    <col min="11508" max="11508" width="16.140625" style="12" customWidth="1"/>
    <col min="11509" max="11509" width="20.42578125" style="12" customWidth="1"/>
    <col min="11510" max="11758" width="9.140625" style="12"/>
    <col min="11759" max="11759" width="34.85546875" style="12" bestFit="1" customWidth="1"/>
    <col min="11760" max="11760" width="12" style="12" customWidth="1"/>
    <col min="11761" max="11761" width="12.5703125" style="12" customWidth="1"/>
    <col min="11762" max="11762" width="12.28515625" style="12" customWidth="1"/>
    <col min="11763" max="11763" width="11.28515625" style="12" customWidth="1"/>
    <col min="11764" max="11764" width="16.140625" style="12" customWidth="1"/>
    <col min="11765" max="11765" width="20.42578125" style="12" customWidth="1"/>
    <col min="11766" max="12014" width="9.140625" style="12"/>
    <col min="12015" max="12015" width="34.85546875" style="12" bestFit="1" customWidth="1"/>
    <col min="12016" max="12016" width="12" style="12" customWidth="1"/>
    <col min="12017" max="12017" width="12.5703125" style="12" customWidth="1"/>
    <col min="12018" max="12018" width="12.28515625" style="12" customWidth="1"/>
    <col min="12019" max="12019" width="11.28515625" style="12" customWidth="1"/>
    <col min="12020" max="12020" width="16.140625" style="12" customWidth="1"/>
    <col min="12021" max="12021" width="20.42578125" style="12" customWidth="1"/>
    <col min="12022" max="12270" width="9.140625" style="12"/>
    <col min="12271" max="12271" width="34.85546875" style="12" bestFit="1" customWidth="1"/>
    <col min="12272" max="12272" width="12" style="12" customWidth="1"/>
    <col min="12273" max="12273" width="12.5703125" style="12" customWidth="1"/>
    <col min="12274" max="12274" width="12.28515625" style="12" customWidth="1"/>
    <col min="12275" max="12275" width="11.28515625" style="12" customWidth="1"/>
    <col min="12276" max="12276" width="16.140625" style="12" customWidth="1"/>
    <col min="12277" max="12277" width="20.42578125" style="12" customWidth="1"/>
    <col min="12278" max="12526" width="9.140625" style="12"/>
    <col min="12527" max="12527" width="34.85546875" style="12" bestFit="1" customWidth="1"/>
    <col min="12528" max="12528" width="12" style="12" customWidth="1"/>
    <col min="12529" max="12529" width="12.5703125" style="12" customWidth="1"/>
    <col min="12530" max="12530" width="12.28515625" style="12" customWidth="1"/>
    <col min="12531" max="12531" width="11.28515625" style="12" customWidth="1"/>
    <col min="12532" max="12532" width="16.140625" style="12" customWidth="1"/>
    <col min="12533" max="12533" width="20.42578125" style="12" customWidth="1"/>
    <col min="12534" max="12782" width="9.140625" style="12"/>
    <col min="12783" max="12783" width="34.85546875" style="12" bestFit="1" customWidth="1"/>
    <col min="12784" max="12784" width="12" style="12" customWidth="1"/>
    <col min="12785" max="12785" width="12.5703125" style="12" customWidth="1"/>
    <col min="12786" max="12786" width="12.28515625" style="12" customWidth="1"/>
    <col min="12787" max="12787" width="11.28515625" style="12" customWidth="1"/>
    <col min="12788" max="12788" width="16.140625" style="12" customWidth="1"/>
    <col min="12789" max="12789" width="20.42578125" style="12" customWidth="1"/>
    <col min="12790" max="13038" width="9.140625" style="12"/>
    <col min="13039" max="13039" width="34.85546875" style="12" bestFit="1" customWidth="1"/>
    <col min="13040" max="13040" width="12" style="12" customWidth="1"/>
    <col min="13041" max="13041" width="12.5703125" style="12" customWidth="1"/>
    <col min="13042" max="13042" width="12.28515625" style="12" customWidth="1"/>
    <col min="13043" max="13043" width="11.28515625" style="12" customWidth="1"/>
    <col min="13044" max="13044" width="16.140625" style="12" customWidth="1"/>
    <col min="13045" max="13045" width="20.42578125" style="12" customWidth="1"/>
    <col min="13046" max="13294" width="9.140625" style="12"/>
    <col min="13295" max="13295" width="34.85546875" style="12" bestFit="1" customWidth="1"/>
    <col min="13296" max="13296" width="12" style="12" customWidth="1"/>
    <col min="13297" max="13297" width="12.5703125" style="12" customWidth="1"/>
    <col min="13298" max="13298" width="12.28515625" style="12" customWidth="1"/>
    <col min="13299" max="13299" width="11.28515625" style="12" customWidth="1"/>
    <col min="13300" max="13300" width="16.140625" style="12" customWidth="1"/>
    <col min="13301" max="13301" width="20.42578125" style="12" customWidth="1"/>
    <col min="13302" max="13550" width="9.140625" style="12"/>
    <col min="13551" max="13551" width="34.85546875" style="12" bestFit="1" customWidth="1"/>
    <col min="13552" max="13552" width="12" style="12" customWidth="1"/>
    <col min="13553" max="13553" width="12.5703125" style="12" customWidth="1"/>
    <col min="13554" max="13554" width="12.28515625" style="12" customWidth="1"/>
    <col min="13555" max="13555" width="11.28515625" style="12" customWidth="1"/>
    <col min="13556" max="13556" width="16.140625" style="12" customWidth="1"/>
    <col min="13557" max="13557" width="20.42578125" style="12" customWidth="1"/>
    <col min="13558" max="13806" width="9.140625" style="12"/>
    <col min="13807" max="13807" width="34.85546875" style="12" bestFit="1" customWidth="1"/>
    <col min="13808" max="13808" width="12" style="12" customWidth="1"/>
    <col min="13809" max="13809" width="12.5703125" style="12" customWidth="1"/>
    <col min="13810" max="13810" width="12.28515625" style="12" customWidth="1"/>
    <col min="13811" max="13811" width="11.28515625" style="12" customWidth="1"/>
    <col min="13812" max="13812" width="16.140625" style="12" customWidth="1"/>
    <col min="13813" max="13813" width="20.42578125" style="12" customWidth="1"/>
    <col min="13814" max="14062" width="9.140625" style="12"/>
    <col min="14063" max="14063" width="34.85546875" style="12" bestFit="1" customWidth="1"/>
    <col min="14064" max="14064" width="12" style="12" customWidth="1"/>
    <col min="14065" max="14065" width="12.5703125" style="12" customWidth="1"/>
    <col min="14066" max="14066" width="12.28515625" style="12" customWidth="1"/>
    <col min="14067" max="14067" width="11.28515625" style="12" customWidth="1"/>
    <col min="14068" max="14068" width="16.140625" style="12" customWidth="1"/>
    <col min="14069" max="14069" width="20.42578125" style="12" customWidth="1"/>
    <col min="14070" max="14318" width="9.140625" style="12"/>
    <col min="14319" max="14319" width="34.85546875" style="12" bestFit="1" customWidth="1"/>
    <col min="14320" max="14320" width="12" style="12" customWidth="1"/>
    <col min="14321" max="14321" width="12.5703125" style="12" customWidth="1"/>
    <col min="14322" max="14322" width="12.28515625" style="12" customWidth="1"/>
    <col min="14323" max="14323" width="11.28515625" style="12" customWidth="1"/>
    <col min="14324" max="14324" width="16.140625" style="12" customWidth="1"/>
    <col min="14325" max="14325" width="20.42578125" style="12" customWidth="1"/>
    <col min="14326" max="14574" width="9.140625" style="12"/>
    <col min="14575" max="14575" width="34.85546875" style="12" bestFit="1" customWidth="1"/>
    <col min="14576" max="14576" width="12" style="12" customWidth="1"/>
    <col min="14577" max="14577" width="12.5703125" style="12" customWidth="1"/>
    <col min="14578" max="14578" width="12.28515625" style="12" customWidth="1"/>
    <col min="14579" max="14579" width="11.28515625" style="12" customWidth="1"/>
    <col min="14580" max="14580" width="16.140625" style="12" customWidth="1"/>
    <col min="14581" max="14581" width="20.42578125" style="12" customWidth="1"/>
    <col min="14582" max="14830" width="9.140625" style="12"/>
    <col min="14831" max="14831" width="34.85546875" style="12" bestFit="1" customWidth="1"/>
    <col min="14832" max="14832" width="12" style="12" customWidth="1"/>
    <col min="14833" max="14833" width="12.5703125" style="12" customWidth="1"/>
    <col min="14834" max="14834" width="12.28515625" style="12" customWidth="1"/>
    <col min="14835" max="14835" width="11.28515625" style="12" customWidth="1"/>
    <col min="14836" max="14836" width="16.140625" style="12" customWidth="1"/>
    <col min="14837" max="14837" width="20.42578125" style="12" customWidth="1"/>
    <col min="14838" max="15086" width="9.140625" style="12"/>
    <col min="15087" max="15087" width="34.85546875" style="12" bestFit="1" customWidth="1"/>
    <col min="15088" max="15088" width="12" style="12" customWidth="1"/>
    <col min="15089" max="15089" width="12.5703125" style="12" customWidth="1"/>
    <col min="15090" max="15090" width="12.28515625" style="12" customWidth="1"/>
    <col min="15091" max="15091" width="11.28515625" style="12" customWidth="1"/>
    <col min="15092" max="15092" width="16.140625" style="12" customWidth="1"/>
    <col min="15093" max="15093" width="20.42578125" style="12" customWidth="1"/>
    <col min="15094" max="15342" width="9.140625" style="12"/>
    <col min="15343" max="15343" width="34.85546875" style="12" bestFit="1" customWidth="1"/>
    <col min="15344" max="15344" width="12" style="12" customWidth="1"/>
    <col min="15345" max="15345" width="12.5703125" style="12" customWidth="1"/>
    <col min="15346" max="15346" width="12.28515625" style="12" customWidth="1"/>
    <col min="15347" max="15347" width="11.28515625" style="12" customWidth="1"/>
    <col min="15348" max="15348" width="16.140625" style="12" customWidth="1"/>
    <col min="15349" max="15349" width="20.42578125" style="12" customWidth="1"/>
    <col min="15350" max="15598" width="9.140625" style="12"/>
    <col min="15599" max="15599" width="34.85546875" style="12" bestFit="1" customWidth="1"/>
    <col min="15600" max="15600" width="12" style="12" customWidth="1"/>
    <col min="15601" max="15601" width="12.5703125" style="12" customWidth="1"/>
    <col min="15602" max="15602" width="12.28515625" style="12" customWidth="1"/>
    <col min="15603" max="15603" width="11.28515625" style="12" customWidth="1"/>
    <col min="15604" max="15604" width="16.140625" style="12" customWidth="1"/>
    <col min="15605" max="15605" width="20.42578125" style="12" customWidth="1"/>
    <col min="15606" max="15854" width="9.140625" style="12"/>
    <col min="15855" max="15855" width="34.85546875" style="12" bestFit="1" customWidth="1"/>
    <col min="15856" max="15856" width="12" style="12" customWidth="1"/>
    <col min="15857" max="15857" width="12.5703125" style="12" customWidth="1"/>
    <col min="15858" max="15858" width="12.28515625" style="12" customWidth="1"/>
    <col min="15859" max="15859" width="11.28515625" style="12" customWidth="1"/>
    <col min="15860" max="15860" width="16.140625" style="12" customWidth="1"/>
    <col min="15861" max="15861" width="20.42578125" style="12" customWidth="1"/>
    <col min="15862" max="16110" width="9.140625" style="12"/>
    <col min="16111" max="16111" width="34.85546875" style="12" bestFit="1" customWidth="1"/>
    <col min="16112" max="16112" width="12" style="12" customWidth="1"/>
    <col min="16113" max="16113" width="12.5703125" style="12" customWidth="1"/>
    <col min="16114" max="16114" width="12.28515625" style="12" customWidth="1"/>
    <col min="16115" max="16115" width="11.28515625" style="12" customWidth="1"/>
    <col min="16116" max="16116" width="16.140625" style="12" customWidth="1"/>
    <col min="16117" max="16117" width="20.42578125" style="12" customWidth="1"/>
    <col min="16118" max="16384" width="9.140625" style="12"/>
  </cols>
  <sheetData>
    <row r="1" spans="1:7" x14ac:dyDescent="0.35">
      <c r="A1" s="141" t="s">
        <v>135</v>
      </c>
      <c r="B1" s="140"/>
      <c r="C1" s="140"/>
      <c r="D1" s="140"/>
      <c r="E1" s="140"/>
      <c r="F1" s="140"/>
      <c r="G1" s="140"/>
    </row>
    <row r="2" spans="1:7" ht="15" x14ac:dyDescent="0.3">
      <c r="A2" s="108" t="s">
        <v>139</v>
      </c>
      <c r="B2" s="108"/>
      <c r="C2" s="108"/>
      <c r="D2" s="108"/>
      <c r="E2" s="108"/>
      <c r="F2" s="108"/>
      <c r="G2" s="108"/>
    </row>
    <row r="3" spans="1:7" ht="51" customHeight="1" x14ac:dyDescent="0.3">
      <c r="A3" s="108"/>
      <c r="B3" s="108"/>
      <c r="C3" s="108"/>
      <c r="D3" s="108"/>
      <c r="E3" s="108"/>
      <c r="F3" s="108"/>
      <c r="G3" s="108"/>
    </row>
    <row r="4" spans="1:7" x14ac:dyDescent="0.35">
      <c r="A4" s="109" t="s">
        <v>85</v>
      </c>
      <c r="B4" s="109"/>
      <c r="C4" s="109"/>
      <c r="D4" s="109"/>
      <c r="E4" s="109"/>
      <c r="F4" s="109"/>
      <c r="G4" s="109"/>
    </row>
    <row r="5" spans="1:7" x14ac:dyDescent="0.35">
      <c r="A5" s="81" t="s">
        <v>1</v>
      </c>
    </row>
    <row r="6" spans="1:7" ht="24.75" customHeight="1" x14ac:dyDescent="0.3">
      <c r="A6" s="110" t="s">
        <v>92</v>
      </c>
      <c r="B6" s="110"/>
      <c r="C6" s="110"/>
      <c r="D6" s="110"/>
      <c r="E6" s="110"/>
      <c r="F6" s="110"/>
      <c r="G6" s="110"/>
    </row>
    <row r="7" spans="1:7" ht="37.5" customHeight="1" x14ac:dyDescent="0.3">
      <c r="A7" s="125" t="s">
        <v>2</v>
      </c>
      <c r="B7" s="111" t="s">
        <v>3</v>
      </c>
      <c r="C7" s="111"/>
      <c r="D7" s="113" t="s">
        <v>4</v>
      </c>
      <c r="E7" s="113" t="s">
        <v>5</v>
      </c>
      <c r="F7" s="111" t="s">
        <v>6</v>
      </c>
      <c r="G7" s="34" t="s">
        <v>7</v>
      </c>
    </row>
    <row r="8" spans="1:7" x14ac:dyDescent="0.3">
      <c r="A8" s="125"/>
      <c r="B8" s="34" t="s">
        <v>8</v>
      </c>
      <c r="C8" s="34" t="s">
        <v>9</v>
      </c>
      <c r="D8" s="114"/>
      <c r="E8" s="114"/>
      <c r="F8" s="111"/>
      <c r="G8" s="34" t="s">
        <v>10</v>
      </c>
    </row>
    <row r="9" spans="1:7" x14ac:dyDescent="0.3">
      <c r="A9" s="82" t="s">
        <v>27</v>
      </c>
      <c r="B9" s="25">
        <v>50</v>
      </c>
      <c r="C9" s="25">
        <f>B9*100%</f>
        <v>50</v>
      </c>
      <c r="D9" s="25">
        <f>7.4%*C9</f>
        <v>3.7000000000000006</v>
      </c>
      <c r="E9" s="25">
        <f>3.14%*C9</f>
        <v>1.5700000000000003</v>
      </c>
      <c r="F9" s="25">
        <f>62.3%*C9</f>
        <v>31.15</v>
      </c>
      <c r="G9" s="25">
        <f>4*(D9+F9)+9*E9</f>
        <v>153.53</v>
      </c>
    </row>
    <row r="10" spans="1:7" ht="36" x14ac:dyDescent="0.3">
      <c r="A10" s="82" t="s">
        <v>19</v>
      </c>
      <c r="B10" s="25">
        <v>5</v>
      </c>
      <c r="C10" s="25">
        <f>100%*B10</f>
        <v>5</v>
      </c>
      <c r="D10" s="25"/>
      <c r="E10" s="25">
        <f>72.57%*C10</f>
        <v>3.6284999999999994</v>
      </c>
      <c r="F10" s="25"/>
      <c r="G10" s="25">
        <f>4*(D10+F10)+9*E10</f>
        <v>32.656499999999994</v>
      </c>
    </row>
    <row r="11" spans="1:7" x14ac:dyDescent="0.3">
      <c r="A11" s="13" t="s">
        <v>39</v>
      </c>
      <c r="B11" s="25">
        <v>40</v>
      </c>
      <c r="C11" s="25">
        <f t="shared" ref="C11" si="0">100%*B11</f>
        <v>40</v>
      </c>
      <c r="D11" s="25">
        <f>6.97%*C11</f>
        <v>2.7879999999999998</v>
      </c>
      <c r="E11" s="25">
        <f>8.13%*C11</f>
        <v>3.2520000000000007</v>
      </c>
      <c r="F11" s="25">
        <f>9.8%*B11</f>
        <v>3.92</v>
      </c>
      <c r="G11" s="25">
        <f t="shared" ref="G11" si="1">4*(D11+F11)+9*E11</f>
        <v>56.100000000000009</v>
      </c>
    </row>
    <row r="12" spans="1:7" x14ac:dyDescent="0.3">
      <c r="A12" s="82" t="s">
        <v>22</v>
      </c>
      <c r="B12" s="25">
        <v>5</v>
      </c>
      <c r="C12" s="25">
        <f>100%*B12</f>
        <v>5</v>
      </c>
      <c r="D12" s="25"/>
      <c r="E12" s="25"/>
      <c r="F12" s="25">
        <f>99%*C12</f>
        <v>4.95</v>
      </c>
      <c r="G12" s="25">
        <f>4*(D12+F12)+9*E12</f>
        <v>19.8</v>
      </c>
    </row>
    <row r="13" spans="1:7" x14ac:dyDescent="0.3">
      <c r="A13" s="82" t="s">
        <v>15</v>
      </c>
      <c r="B13" s="25">
        <v>1.5</v>
      </c>
      <c r="C13" s="25">
        <f>100%*B13</f>
        <v>1.5</v>
      </c>
      <c r="D13" s="25"/>
      <c r="E13" s="25"/>
      <c r="F13" s="25"/>
      <c r="G13" s="25">
        <f>4*(D13+F13)+9*E13</f>
        <v>0</v>
      </c>
    </row>
    <row r="14" spans="1:7" s="15" customFormat="1" x14ac:dyDescent="0.2">
      <c r="A14" s="55" t="s">
        <v>16</v>
      </c>
      <c r="B14" s="115">
        <v>250</v>
      </c>
      <c r="C14" s="116"/>
      <c r="D14" s="26">
        <f t="shared" ref="D14:F14" si="2">SUM(D9:D13)</f>
        <v>6.4880000000000004</v>
      </c>
      <c r="E14" s="26">
        <f t="shared" si="2"/>
        <v>8.4504999999999999</v>
      </c>
      <c r="F14" s="26">
        <f t="shared" si="2"/>
        <v>40.020000000000003</v>
      </c>
      <c r="G14" s="26">
        <f>SUM(G9:G13)</f>
        <v>262.0865</v>
      </c>
    </row>
    <row r="18" spans="1:7" x14ac:dyDescent="0.3">
      <c r="A18" s="110" t="s">
        <v>29</v>
      </c>
      <c r="B18" s="110"/>
      <c r="C18" s="110"/>
      <c r="D18" s="110"/>
      <c r="E18" s="110"/>
      <c r="F18" s="110"/>
      <c r="G18" s="110"/>
    </row>
    <row r="19" spans="1:7" ht="36" x14ac:dyDescent="0.3">
      <c r="A19" s="126" t="s">
        <v>2</v>
      </c>
      <c r="B19" s="115" t="s">
        <v>3</v>
      </c>
      <c r="C19" s="116"/>
      <c r="D19" s="113" t="s">
        <v>4</v>
      </c>
      <c r="E19" s="113" t="s">
        <v>5</v>
      </c>
      <c r="F19" s="113" t="s">
        <v>6</v>
      </c>
      <c r="G19" s="34" t="s">
        <v>7</v>
      </c>
    </row>
    <row r="20" spans="1:7" x14ac:dyDescent="0.3">
      <c r="A20" s="127"/>
      <c r="B20" s="34" t="s">
        <v>8</v>
      </c>
      <c r="C20" s="34" t="s">
        <v>9</v>
      </c>
      <c r="D20" s="114"/>
      <c r="E20" s="114"/>
      <c r="F20" s="114"/>
      <c r="G20" s="34" t="s">
        <v>10</v>
      </c>
    </row>
    <row r="21" spans="1:7" x14ac:dyDescent="0.3">
      <c r="A21" s="82" t="s">
        <v>29</v>
      </c>
      <c r="B21" s="25">
        <v>1</v>
      </c>
      <c r="C21" s="25">
        <f>100%*B21</f>
        <v>1</v>
      </c>
      <c r="D21" s="25"/>
      <c r="E21" s="25"/>
      <c r="F21" s="25"/>
      <c r="G21" s="25">
        <f>4*(D21+F21)+9*E21</f>
        <v>0</v>
      </c>
    </row>
    <row r="22" spans="1:7" x14ac:dyDescent="0.3">
      <c r="A22" s="82" t="s">
        <v>22</v>
      </c>
      <c r="B22" s="25">
        <v>20</v>
      </c>
      <c r="C22" s="25">
        <f>100%*B22</f>
        <v>20</v>
      </c>
      <c r="D22" s="25"/>
      <c r="E22" s="25"/>
      <c r="F22" s="25">
        <f>99%*C22</f>
        <v>19.8</v>
      </c>
      <c r="G22" s="25">
        <f>4*(D22+F22)+9*E22</f>
        <v>79.2</v>
      </c>
    </row>
    <row r="23" spans="1:7" x14ac:dyDescent="0.3">
      <c r="A23" s="55" t="s">
        <v>16</v>
      </c>
      <c r="B23" s="115">
        <v>200</v>
      </c>
      <c r="C23" s="116"/>
      <c r="D23" s="26">
        <f>SUM(D21:D22)</f>
        <v>0</v>
      </c>
      <c r="E23" s="26">
        <f>SUM(E21:E22)</f>
        <v>0</v>
      </c>
      <c r="F23" s="26">
        <f>SUM(F21:F22)</f>
        <v>19.8</v>
      </c>
      <c r="G23" s="26">
        <f>SUM(G21:G22)</f>
        <v>79.2</v>
      </c>
    </row>
    <row r="24" spans="1:7" x14ac:dyDescent="0.3">
      <c r="A24" s="13" t="s">
        <v>28</v>
      </c>
      <c r="B24" s="25">
        <v>10</v>
      </c>
      <c r="C24" s="25">
        <f>100%*B24</f>
        <v>10</v>
      </c>
      <c r="D24" s="25">
        <f>0.5%*C24</f>
        <v>0.05</v>
      </c>
      <c r="E24" s="25">
        <f>82.5%*C24</f>
        <v>8.25</v>
      </c>
      <c r="F24" s="25">
        <f>0.8%*C24</f>
        <v>0.08</v>
      </c>
      <c r="G24" s="25">
        <f>4*(D24+F24)+9*E24</f>
        <v>74.77</v>
      </c>
    </row>
    <row r="25" spans="1:7" x14ac:dyDescent="0.3">
      <c r="A25" s="13" t="s">
        <v>60</v>
      </c>
      <c r="B25" s="25">
        <v>10</v>
      </c>
      <c r="C25" s="25">
        <f t="shared" ref="C25" si="3">100%*B25</f>
        <v>10</v>
      </c>
      <c r="D25" s="25"/>
      <c r="E25" s="25"/>
      <c r="F25" s="25">
        <f>70.1%*C25</f>
        <v>7.01</v>
      </c>
      <c r="G25" s="25">
        <f>4*(D25+F25)+9*E25</f>
        <v>28.04</v>
      </c>
    </row>
    <row r="26" spans="1:7" x14ac:dyDescent="0.3">
      <c r="A26" s="83" t="s">
        <v>13</v>
      </c>
      <c r="B26" s="26">
        <v>300</v>
      </c>
      <c r="C26" s="26">
        <f>B26*100%</f>
        <v>300</v>
      </c>
      <c r="D26" s="26">
        <f>C26*7.9%</f>
        <v>23.7</v>
      </c>
      <c r="E26" s="26">
        <f>C26*1%</f>
        <v>3</v>
      </c>
      <c r="F26" s="26">
        <f>C26*49.6%</f>
        <v>148.80000000000001</v>
      </c>
      <c r="G26" s="26">
        <f>4*(D26+F26)+9*E26</f>
        <v>717</v>
      </c>
    </row>
    <row r="27" spans="1:7" x14ac:dyDescent="0.3">
      <c r="A27" s="55" t="s">
        <v>34</v>
      </c>
      <c r="B27" s="117">
        <f>B14+B23+B24+B25+B26</f>
        <v>770</v>
      </c>
      <c r="C27" s="116"/>
      <c r="D27" s="26">
        <f t="shared" ref="D27:F27" si="4">D14+D23+D24+D25+D26</f>
        <v>30.238</v>
      </c>
      <c r="E27" s="26">
        <f t="shared" si="4"/>
        <v>19.700499999999998</v>
      </c>
      <c r="F27" s="26">
        <f t="shared" si="4"/>
        <v>215.71000000000004</v>
      </c>
      <c r="G27" s="26">
        <f>G14+G23+G24+G25+G26</f>
        <v>1161.0965000000001</v>
      </c>
    </row>
    <row r="29" spans="1:7" x14ac:dyDescent="0.35">
      <c r="A29" s="81" t="s">
        <v>37</v>
      </c>
    </row>
    <row r="30" spans="1:7" x14ac:dyDescent="0.3">
      <c r="A30" s="110" t="s">
        <v>86</v>
      </c>
      <c r="B30" s="110"/>
      <c r="C30" s="110"/>
      <c r="D30" s="110"/>
      <c r="E30" s="110"/>
      <c r="F30" s="110"/>
      <c r="G30" s="110"/>
    </row>
    <row r="31" spans="1:7" ht="36" x14ac:dyDescent="0.3">
      <c r="A31" s="126" t="s">
        <v>2</v>
      </c>
      <c r="B31" s="115" t="s">
        <v>3</v>
      </c>
      <c r="C31" s="116"/>
      <c r="D31" s="113" t="s">
        <v>4</v>
      </c>
      <c r="E31" s="113" t="s">
        <v>5</v>
      </c>
      <c r="F31" s="113" t="s">
        <v>6</v>
      </c>
      <c r="G31" s="34" t="s">
        <v>7</v>
      </c>
    </row>
    <row r="32" spans="1:7" x14ac:dyDescent="0.3">
      <c r="A32" s="127"/>
      <c r="B32" s="34" t="s">
        <v>8</v>
      </c>
      <c r="C32" s="34" t="s">
        <v>9</v>
      </c>
      <c r="D32" s="114"/>
      <c r="E32" s="114"/>
      <c r="F32" s="114"/>
      <c r="G32" s="34" t="s">
        <v>10</v>
      </c>
    </row>
    <row r="33" spans="1:7" x14ac:dyDescent="0.3">
      <c r="A33" s="82" t="s">
        <v>46</v>
      </c>
      <c r="B33" s="25">
        <v>200</v>
      </c>
      <c r="C33" s="25">
        <f>72%*B33</f>
        <v>144</v>
      </c>
      <c r="D33" s="25">
        <f>2.1%*C33</f>
        <v>3.024</v>
      </c>
      <c r="E33" s="25">
        <f>0.4%*C33</f>
        <v>0.57600000000000007</v>
      </c>
      <c r="F33" s="25">
        <f>15.6%*C33</f>
        <v>22.463999999999999</v>
      </c>
      <c r="G33" s="25">
        <f>4*(D33+F33)+9*E33</f>
        <v>107.136</v>
      </c>
    </row>
    <row r="34" spans="1:7" x14ac:dyDescent="0.3">
      <c r="A34" s="82" t="s">
        <v>45</v>
      </c>
      <c r="B34" s="25">
        <v>60</v>
      </c>
      <c r="C34" s="25">
        <f>80%*B34</f>
        <v>48</v>
      </c>
      <c r="D34" s="25">
        <f>1.77%*C34</f>
        <v>0.84960000000000002</v>
      </c>
      <c r="E34" s="25"/>
      <c r="F34" s="25">
        <f>11%*C34</f>
        <v>5.28</v>
      </c>
      <c r="G34" s="25">
        <f t="shared" ref="G34:G39" si="5">4*(D34+F34)+9*E34</f>
        <v>24.5184</v>
      </c>
    </row>
    <row r="35" spans="1:7" x14ac:dyDescent="0.3">
      <c r="A35" s="82" t="s">
        <v>43</v>
      </c>
      <c r="B35" s="25">
        <v>14</v>
      </c>
      <c r="C35" s="25">
        <f>90%*B35</f>
        <v>12.6</v>
      </c>
      <c r="D35" s="25">
        <f>1.58%*C35</f>
        <v>0.19908000000000001</v>
      </c>
      <c r="E35" s="25"/>
      <c r="F35" s="25">
        <f>9.5%*C35</f>
        <v>1.1970000000000001</v>
      </c>
      <c r="G35" s="25">
        <f t="shared" si="5"/>
        <v>5.58432</v>
      </c>
    </row>
    <row r="36" spans="1:7" x14ac:dyDescent="0.3">
      <c r="A36" s="13" t="s">
        <v>52</v>
      </c>
      <c r="B36" s="25">
        <v>35</v>
      </c>
      <c r="C36" s="25">
        <f>90%*B36</f>
        <v>31.5</v>
      </c>
      <c r="D36" s="25">
        <f>1.1%*C36</f>
        <v>0.34650000000000003</v>
      </c>
      <c r="E36" s="25">
        <f>0.2%*C36</f>
        <v>6.3E-2</v>
      </c>
      <c r="F36" s="25">
        <f>3.8%*C36</f>
        <v>1.1970000000000001</v>
      </c>
      <c r="G36" s="25">
        <f t="shared" si="5"/>
        <v>6.7410000000000005</v>
      </c>
    </row>
    <row r="37" spans="1:7" x14ac:dyDescent="0.3">
      <c r="A37" s="82" t="s">
        <v>14</v>
      </c>
      <c r="B37" s="25">
        <v>5</v>
      </c>
      <c r="C37" s="25">
        <f>100%*B37</f>
        <v>5</v>
      </c>
      <c r="D37" s="25"/>
      <c r="E37" s="25">
        <f>99.9%*C37</f>
        <v>4.995000000000001</v>
      </c>
      <c r="F37" s="25"/>
      <c r="G37" s="25">
        <f>4*(D37+F37)+9*E37</f>
        <v>44.955000000000013</v>
      </c>
    </row>
    <row r="38" spans="1:7" x14ac:dyDescent="0.3">
      <c r="A38" s="82" t="s">
        <v>42</v>
      </c>
      <c r="B38" s="25">
        <v>7</v>
      </c>
      <c r="C38" s="25">
        <f>85%*B38</f>
        <v>5.95</v>
      </c>
      <c r="D38" s="25"/>
      <c r="E38" s="25"/>
      <c r="F38" s="25"/>
      <c r="G38" s="25">
        <f t="shared" si="5"/>
        <v>0</v>
      </c>
    </row>
    <row r="39" spans="1:7" x14ac:dyDescent="0.3">
      <c r="A39" s="82" t="s">
        <v>15</v>
      </c>
      <c r="B39" s="25">
        <v>1</v>
      </c>
      <c r="C39" s="25">
        <f>100%*B39</f>
        <v>1</v>
      </c>
      <c r="D39" s="25"/>
      <c r="E39" s="25"/>
      <c r="F39" s="25"/>
      <c r="G39" s="25">
        <f t="shared" si="5"/>
        <v>0</v>
      </c>
    </row>
    <row r="40" spans="1:7" x14ac:dyDescent="0.3">
      <c r="A40" s="82" t="s">
        <v>87</v>
      </c>
      <c r="B40" s="25">
        <v>400</v>
      </c>
      <c r="C40" s="25">
        <v>400</v>
      </c>
      <c r="D40" s="25"/>
      <c r="E40" s="25"/>
      <c r="F40" s="25"/>
      <c r="G40" s="25"/>
    </row>
    <row r="41" spans="1:7" x14ac:dyDescent="0.3">
      <c r="A41" s="13" t="s">
        <v>24</v>
      </c>
      <c r="B41" s="25">
        <v>10</v>
      </c>
      <c r="C41" s="25">
        <f>100%*B41</f>
        <v>10</v>
      </c>
      <c r="D41" s="25">
        <f>2.6%*C41</f>
        <v>0.26</v>
      </c>
      <c r="E41" s="25">
        <f>10%*C41</f>
        <v>1</v>
      </c>
      <c r="F41" s="25">
        <f>3.8%*C41</f>
        <v>0.38</v>
      </c>
      <c r="G41" s="25">
        <f>4*(D41+F41)+9*E41</f>
        <v>11.56</v>
      </c>
    </row>
    <row r="42" spans="1:7" x14ac:dyDescent="0.3">
      <c r="A42" s="55" t="s">
        <v>16</v>
      </c>
      <c r="B42" s="115">
        <v>450</v>
      </c>
      <c r="C42" s="116"/>
      <c r="D42" s="26">
        <f t="shared" ref="D42:F42" si="6">SUM(D33:D41)</f>
        <v>4.6791799999999997</v>
      </c>
      <c r="E42" s="26">
        <f t="shared" si="6"/>
        <v>6.6340000000000012</v>
      </c>
      <c r="F42" s="26">
        <f t="shared" si="6"/>
        <v>30.517999999999997</v>
      </c>
      <c r="G42" s="26">
        <f>SUM(G33:G41)</f>
        <v>200.49472000000003</v>
      </c>
    </row>
    <row r="44" spans="1:7" s="16" customFormat="1" x14ac:dyDescent="0.35">
      <c r="A44" s="84"/>
      <c r="B44" s="24"/>
      <c r="C44" s="24"/>
      <c r="D44" s="24"/>
      <c r="E44" s="24"/>
      <c r="F44" s="24"/>
      <c r="G44" s="24"/>
    </row>
    <row r="46" spans="1:7" x14ac:dyDescent="0.3">
      <c r="A46" s="97" t="s">
        <v>93</v>
      </c>
      <c r="B46" s="97"/>
      <c r="C46" s="97"/>
      <c r="D46" s="97"/>
      <c r="E46" s="97"/>
      <c r="F46" s="97"/>
      <c r="G46" s="97"/>
    </row>
    <row r="47" spans="1:7" ht="36" x14ac:dyDescent="0.3">
      <c r="A47" s="128" t="s">
        <v>2</v>
      </c>
      <c r="B47" s="98" t="s">
        <v>3</v>
      </c>
      <c r="C47" s="98"/>
      <c r="D47" s="99" t="s">
        <v>4</v>
      </c>
      <c r="E47" s="99" t="s">
        <v>5</v>
      </c>
      <c r="F47" s="98" t="s">
        <v>6</v>
      </c>
      <c r="G47" s="35" t="s">
        <v>7</v>
      </c>
    </row>
    <row r="48" spans="1:7" x14ac:dyDescent="0.3">
      <c r="A48" s="128"/>
      <c r="B48" s="35" t="s">
        <v>8</v>
      </c>
      <c r="C48" s="35" t="s">
        <v>9</v>
      </c>
      <c r="D48" s="100"/>
      <c r="E48" s="100"/>
      <c r="F48" s="98"/>
      <c r="G48" s="35" t="s">
        <v>10</v>
      </c>
    </row>
    <row r="49" spans="1:7" x14ac:dyDescent="0.3">
      <c r="A49" s="4" t="s">
        <v>46</v>
      </c>
      <c r="B49" s="27">
        <v>100</v>
      </c>
      <c r="C49" s="27">
        <f>72%*B49</f>
        <v>72</v>
      </c>
      <c r="D49" s="27">
        <f>2.1%*C49</f>
        <v>1.512</v>
      </c>
      <c r="E49" s="27">
        <f>0.4%*C49</f>
        <v>0.28800000000000003</v>
      </c>
      <c r="F49" s="27">
        <f>15.6%*C49</f>
        <v>11.231999999999999</v>
      </c>
      <c r="G49" s="27">
        <f t="shared" ref="G49:G56" si="7">4*(D49+F49)+9*E49</f>
        <v>53.567999999999998</v>
      </c>
    </row>
    <row r="50" spans="1:7" x14ac:dyDescent="0.3">
      <c r="A50" s="4" t="s">
        <v>49</v>
      </c>
      <c r="B50" s="27">
        <v>50</v>
      </c>
      <c r="C50" s="27">
        <f>90%*B50</f>
        <v>45</v>
      </c>
      <c r="D50" s="27">
        <f>1.66%*C50</f>
        <v>0.747</v>
      </c>
      <c r="E50" s="27"/>
      <c r="F50" s="27">
        <f>10%*C50</f>
        <v>4.5</v>
      </c>
      <c r="G50" s="27">
        <f t="shared" si="7"/>
        <v>20.988</v>
      </c>
    </row>
    <row r="51" spans="1:7" x14ac:dyDescent="0.3">
      <c r="A51" s="4" t="s">
        <v>45</v>
      </c>
      <c r="B51" s="27">
        <v>50</v>
      </c>
      <c r="C51" s="27">
        <f>80%*B51</f>
        <v>40</v>
      </c>
      <c r="D51" s="27">
        <f>1.77%*C51</f>
        <v>0.70799999999999996</v>
      </c>
      <c r="E51" s="27"/>
      <c r="F51" s="27">
        <f>11%*C51</f>
        <v>4.4000000000000004</v>
      </c>
      <c r="G51" s="27">
        <f t="shared" si="7"/>
        <v>20.432000000000002</v>
      </c>
    </row>
    <row r="52" spans="1:7" x14ac:dyDescent="0.3">
      <c r="A52" s="85" t="s">
        <v>62</v>
      </c>
      <c r="B52" s="27">
        <v>40</v>
      </c>
      <c r="C52" s="27">
        <f>100%*B52</f>
        <v>40</v>
      </c>
      <c r="D52" s="27">
        <f>0.8%*C52</f>
        <v>0.32</v>
      </c>
      <c r="E52" s="27"/>
      <c r="F52" s="27">
        <f>9.3%*C52</f>
        <v>3.7200000000000006</v>
      </c>
      <c r="G52" s="27">
        <f>4*(D52+F52)+9*E52</f>
        <v>16.160000000000004</v>
      </c>
    </row>
    <row r="53" spans="1:7" x14ac:dyDescent="0.3">
      <c r="A53" s="4" t="s">
        <v>43</v>
      </c>
      <c r="B53" s="27">
        <v>20</v>
      </c>
      <c r="C53" s="27">
        <f>90%*B53</f>
        <v>18</v>
      </c>
      <c r="D53" s="27">
        <f>1.58%*C53</f>
        <v>0.28440000000000004</v>
      </c>
      <c r="E53" s="27"/>
      <c r="F53" s="27">
        <f>9.5%*C53</f>
        <v>1.71</v>
      </c>
      <c r="G53" s="27">
        <f t="shared" si="7"/>
        <v>7.9775999999999998</v>
      </c>
    </row>
    <row r="54" spans="1:7" x14ac:dyDescent="0.3">
      <c r="A54" s="4" t="s">
        <v>21</v>
      </c>
      <c r="B54" s="27">
        <v>40</v>
      </c>
      <c r="C54" s="27">
        <f>B54*100%</f>
        <v>40</v>
      </c>
      <c r="D54" s="27">
        <f>C54*20.8%</f>
        <v>8.32</v>
      </c>
      <c r="E54" s="27">
        <f>C54*2%</f>
        <v>0.8</v>
      </c>
      <c r="F54" s="27">
        <f>C54*46.6%</f>
        <v>18.64</v>
      </c>
      <c r="G54" s="27">
        <f t="shared" si="7"/>
        <v>115.04</v>
      </c>
    </row>
    <row r="55" spans="1:7" x14ac:dyDescent="0.3">
      <c r="A55" s="85" t="s">
        <v>42</v>
      </c>
      <c r="B55" s="27">
        <v>7</v>
      </c>
      <c r="C55" s="27">
        <f>85%*B55</f>
        <v>5.95</v>
      </c>
      <c r="D55" s="27"/>
      <c r="E55" s="27"/>
      <c r="F55" s="27"/>
      <c r="G55" s="27">
        <f t="shared" si="7"/>
        <v>0</v>
      </c>
    </row>
    <row r="56" spans="1:7" x14ac:dyDescent="0.3">
      <c r="A56" s="4" t="s">
        <v>14</v>
      </c>
      <c r="B56" s="27">
        <v>7</v>
      </c>
      <c r="C56" s="27">
        <f>100%*B56</f>
        <v>7</v>
      </c>
      <c r="D56" s="27"/>
      <c r="E56" s="27">
        <f>99.9%*C56</f>
        <v>6.9930000000000003</v>
      </c>
      <c r="F56" s="27"/>
      <c r="G56" s="27">
        <f t="shared" si="7"/>
        <v>62.937000000000005</v>
      </c>
    </row>
    <row r="57" spans="1:7" x14ac:dyDescent="0.3">
      <c r="A57" s="85" t="s">
        <v>15</v>
      </c>
      <c r="B57" s="27">
        <v>1</v>
      </c>
      <c r="C57" s="27">
        <f>100%*B57</f>
        <v>1</v>
      </c>
      <c r="D57" s="27"/>
      <c r="E57" s="27"/>
      <c r="F57" s="27"/>
      <c r="G57" s="27"/>
    </row>
    <row r="58" spans="1:7" x14ac:dyDescent="0.3">
      <c r="A58" s="7" t="s">
        <v>16</v>
      </c>
      <c r="B58" s="93">
        <v>250</v>
      </c>
      <c r="C58" s="94"/>
      <c r="D58" s="28">
        <f t="shared" ref="D58:F58" si="8">SUM(D49:D57)</f>
        <v>11.891400000000001</v>
      </c>
      <c r="E58" s="28">
        <f t="shared" si="8"/>
        <v>8.0809999999999995</v>
      </c>
      <c r="F58" s="28">
        <f t="shared" si="8"/>
        <v>44.201999999999998</v>
      </c>
      <c r="G58" s="28">
        <f>SUM(G49:G57)</f>
        <v>297.1026</v>
      </c>
    </row>
    <row r="61" spans="1:7" x14ac:dyDescent="0.3">
      <c r="A61" s="97" t="s">
        <v>94</v>
      </c>
      <c r="B61" s="97"/>
      <c r="C61" s="97"/>
      <c r="D61" s="97"/>
      <c r="E61" s="97"/>
      <c r="F61" s="97"/>
      <c r="G61" s="97"/>
    </row>
    <row r="62" spans="1:7" ht="36" x14ac:dyDescent="0.3">
      <c r="A62" s="128" t="s">
        <v>2</v>
      </c>
      <c r="B62" s="98" t="s">
        <v>3</v>
      </c>
      <c r="C62" s="98"/>
      <c r="D62" s="99" t="s">
        <v>4</v>
      </c>
      <c r="E62" s="99" t="s">
        <v>5</v>
      </c>
      <c r="F62" s="98" t="s">
        <v>6</v>
      </c>
      <c r="G62" s="35" t="s">
        <v>7</v>
      </c>
    </row>
    <row r="63" spans="1:7" x14ac:dyDescent="0.3">
      <c r="A63" s="128"/>
      <c r="B63" s="35" t="s">
        <v>8</v>
      </c>
      <c r="C63" s="35" t="s">
        <v>9</v>
      </c>
      <c r="D63" s="100"/>
      <c r="E63" s="100"/>
      <c r="F63" s="98"/>
      <c r="G63" s="35" t="s">
        <v>10</v>
      </c>
    </row>
    <row r="64" spans="1:7" ht="36" x14ac:dyDescent="0.3">
      <c r="A64" s="85" t="s">
        <v>30</v>
      </c>
      <c r="B64" s="27">
        <v>200</v>
      </c>
      <c r="C64" s="27">
        <f>B64*75%</f>
        <v>150</v>
      </c>
      <c r="D64" s="27">
        <f>18.6%*C64</f>
        <v>27.900000000000006</v>
      </c>
      <c r="E64" s="27">
        <f>17.3%*C64</f>
        <v>25.950000000000003</v>
      </c>
      <c r="F64" s="27"/>
      <c r="G64" s="27">
        <f>4*(D64+F64)+9*E64</f>
        <v>345.15000000000003</v>
      </c>
    </row>
    <row r="65" spans="1:7" x14ac:dyDescent="0.3">
      <c r="A65" s="13" t="s">
        <v>52</v>
      </c>
      <c r="B65" s="25">
        <v>35</v>
      </c>
      <c r="C65" s="25">
        <f>90%*B65</f>
        <v>31.5</v>
      </c>
      <c r="D65" s="25">
        <f>1.1%*C65</f>
        <v>0.34650000000000003</v>
      </c>
      <c r="E65" s="25">
        <f>0.2%*C65</f>
        <v>6.3E-2</v>
      </c>
      <c r="F65" s="25">
        <f>3.8%*C65</f>
        <v>1.1970000000000001</v>
      </c>
      <c r="G65" s="25">
        <f t="shared" ref="G65" si="9">4*(D65+F65)+9*E65</f>
        <v>6.7410000000000005</v>
      </c>
    </row>
    <row r="66" spans="1:7" x14ac:dyDescent="0.3">
      <c r="A66" s="4" t="s">
        <v>43</v>
      </c>
      <c r="B66" s="27">
        <v>17</v>
      </c>
      <c r="C66" s="27">
        <f>90%*B66</f>
        <v>15.3</v>
      </c>
      <c r="D66" s="27">
        <f>1.58%*C66</f>
        <v>0.24174000000000004</v>
      </c>
      <c r="E66" s="27"/>
      <c r="F66" s="27">
        <f>9.5%*C66</f>
        <v>1.4535</v>
      </c>
      <c r="G66" s="27">
        <f t="shared" ref="G66:G71" si="10">4*(D66+F66)+9*E66</f>
        <v>6.7809600000000003</v>
      </c>
    </row>
    <row r="67" spans="1:7" x14ac:dyDescent="0.3">
      <c r="A67" s="4" t="s">
        <v>19</v>
      </c>
      <c r="B67" s="27">
        <v>5</v>
      </c>
      <c r="C67" s="27">
        <f>100%*B67</f>
        <v>5</v>
      </c>
      <c r="D67" s="27"/>
      <c r="E67" s="27">
        <f>72.57%*C67</f>
        <v>3.6284999999999994</v>
      </c>
      <c r="F67" s="27"/>
      <c r="G67" s="27">
        <f>4*(D67+F67)+9*E67</f>
        <v>32.656499999999994</v>
      </c>
    </row>
    <row r="68" spans="1:7" x14ac:dyDescent="0.3">
      <c r="A68" s="4" t="s">
        <v>44</v>
      </c>
      <c r="B68" s="27">
        <v>1</v>
      </c>
      <c r="C68" s="27">
        <f>92%*B68</f>
        <v>0.92</v>
      </c>
      <c r="D68" s="27"/>
      <c r="E68" s="27"/>
      <c r="F68" s="27"/>
      <c r="G68" s="27">
        <f t="shared" si="10"/>
        <v>0</v>
      </c>
    </row>
    <row r="69" spans="1:7" x14ac:dyDescent="0.3">
      <c r="A69" s="85" t="s">
        <v>15</v>
      </c>
      <c r="B69" s="27">
        <v>1</v>
      </c>
      <c r="C69" s="27">
        <f>100%*B69</f>
        <v>1</v>
      </c>
      <c r="D69" s="27"/>
      <c r="E69" s="27"/>
      <c r="F69" s="27"/>
      <c r="G69" s="27">
        <f t="shared" si="10"/>
        <v>0</v>
      </c>
    </row>
    <row r="70" spans="1:7" x14ac:dyDescent="0.3">
      <c r="A70" s="4" t="s">
        <v>54</v>
      </c>
      <c r="B70" s="27">
        <v>0.5</v>
      </c>
      <c r="C70" s="27">
        <f>100%*B70</f>
        <v>0.5</v>
      </c>
      <c r="D70" s="27"/>
      <c r="E70" s="27"/>
      <c r="F70" s="27"/>
      <c r="G70" s="27">
        <f t="shared" si="10"/>
        <v>0</v>
      </c>
    </row>
    <row r="71" spans="1:7" x14ac:dyDescent="0.3">
      <c r="A71" s="4" t="s">
        <v>42</v>
      </c>
      <c r="B71" s="27">
        <v>7</v>
      </c>
      <c r="C71" s="27">
        <f>85%*B71</f>
        <v>5.95</v>
      </c>
      <c r="D71" s="27"/>
      <c r="E71" s="27"/>
      <c r="F71" s="27"/>
      <c r="G71" s="27">
        <f t="shared" si="10"/>
        <v>0</v>
      </c>
    </row>
    <row r="72" spans="1:7" ht="14.25" customHeight="1" x14ac:dyDescent="0.3">
      <c r="A72" s="7" t="s">
        <v>16</v>
      </c>
      <c r="B72" s="93">
        <v>150</v>
      </c>
      <c r="C72" s="94"/>
      <c r="D72" s="28">
        <f t="shared" ref="D72:F72" si="11">SUM(D64:D71)</f>
        <v>28.488240000000005</v>
      </c>
      <c r="E72" s="28">
        <f t="shared" si="11"/>
        <v>29.641500000000001</v>
      </c>
      <c r="F72" s="28">
        <f t="shared" si="11"/>
        <v>2.6505000000000001</v>
      </c>
      <c r="G72" s="28">
        <f>SUM(G64:G71)</f>
        <v>391.32846000000001</v>
      </c>
    </row>
    <row r="73" spans="1:7" ht="4.5" hidden="1" customHeight="1" x14ac:dyDescent="0.35"/>
    <row r="74" spans="1:7" hidden="1" x14ac:dyDescent="0.35"/>
    <row r="75" spans="1:7" hidden="1" x14ac:dyDescent="0.35"/>
    <row r="76" spans="1:7" hidden="1" x14ac:dyDescent="0.35"/>
    <row r="80" spans="1:7" x14ac:dyDescent="0.3">
      <c r="A80" s="110" t="s">
        <v>88</v>
      </c>
      <c r="B80" s="110"/>
      <c r="C80" s="110"/>
      <c r="D80" s="110"/>
      <c r="E80" s="110"/>
      <c r="F80" s="110"/>
      <c r="G80" s="110"/>
    </row>
    <row r="81" spans="1:7" ht="36" x14ac:dyDescent="0.3">
      <c r="A81" s="125" t="s">
        <v>2</v>
      </c>
      <c r="B81" s="111" t="s">
        <v>3</v>
      </c>
      <c r="C81" s="111"/>
      <c r="D81" s="113" t="s">
        <v>4</v>
      </c>
      <c r="E81" s="113" t="s">
        <v>5</v>
      </c>
      <c r="F81" s="111" t="s">
        <v>6</v>
      </c>
      <c r="G81" s="34" t="s">
        <v>7</v>
      </c>
    </row>
    <row r="82" spans="1:7" x14ac:dyDescent="0.3">
      <c r="A82" s="125"/>
      <c r="B82" s="34" t="s">
        <v>8</v>
      </c>
      <c r="C82" s="34" t="s">
        <v>9</v>
      </c>
      <c r="D82" s="114"/>
      <c r="E82" s="114"/>
      <c r="F82" s="111"/>
      <c r="G82" s="34" t="s">
        <v>10</v>
      </c>
    </row>
    <row r="83" spans="1:7" x14ac:dyDescent="0.3">
      <c r="A83" s="82" t="s">
        <v>46</v>
      </c>
      <c r="B83" s="25">
        <v>300</v>
      </c>
      <c r="C83" s="25">
        <f>72%*B83</f>
        <v>216</v>
      </c>
      <c r="D83" s="25">
        <f>2.1%*C83</f>
        <v>4.5360000000000005</v>
      </c>
      <c r="E83" s="25">
        <f>0.4%*C83</f>
        <v>0.86399999999999999</v>
      </c>
      <c r="F83" s="25">
        <f>15.6%*C83</f>
        <v>33.695999999999998</v>
      </c>
      <c r="G83" s="25">
        <f>4*(D83+F83)+9*E83</f>
        <v>160.70400000000001</v>
      </c>
    </row>
    <row r="84" spans="1:7" x14ac:dyDescent="0.3">
      <c r="A84" s="13" t="s">
        <v>14</v>
      </c>
      <c r="B84" s="25">
        <v>10</v>
      </c>
      <c r="C84" s="25">
        <f>100%*B84</f>
        <v>10</v>
      </c>
      <c r="D84" s="25"/>
      <c r="E84" s="25">
        <f>99.9%*C84</f>
        <v>9.990000000000002</v>
      </c>
      <c r="F84" s="25"/>
      <c r="G84" s="25">
        <f>4*(D84+F84)+9*E84</f>
        <v>89.910000000000025</v>
      </c>
    </row>
    <row r="85" spans="1:7" ht="21.75" customHeight="1" x14ac:dyDescent="0.3">
      <c r="A85" s="13" t="s">
        <v>15</v>
      </c>
      <c r="B85" s="25">
        <v>1</v>
      </c>
      <c r="C85" s="25">
        <f>100%*B85</f>
        <v>1</v>
      </c>
      <c r="D85" s="25"/>
      <c r="E85" s="25"/>
      <c r="F85" s="25"/>
      <c r="G85" s="25">
        <f>4*(D85+F85)+9*E85</f>
        <v>0</v>
      </c>
    </row>
    <row r="86" spans="1:7" ht="21.75" customHeight="1" x14ac:dyDescent="0.3">
      <c r="A86" s="82" t="s">
        <v>42</v>
      </c>
      <c r="B86" s="25">
        <v>5</v>
      </c>
      <c r="C86" s="25">
        <f>100%*B86</f>
        <v>5</v>
      </c>
      <c r="D86" s="25"/>
      <c r="E86" s="25"/>
      <c r="F86" s="25"/>
      <c r="G86" s="25">
        <f>4*(D86+F86)+9*E86</f>
        <v>0</v>
      </c>
    </row>
    <row r="87" spans="1:7" ht="21.75" customHeight="1" x14ac:dyDescent="0.3">
      <c r="A87" s="55" t="s">
        <v>16</v>
      </c>
      <c r="B87" s="115">
        <v>260</v>
      </c>
      <c r="C87" s="116"/>
      <c r="D87" s="26">
        <f t="shared" ref="D87:F87" si="12">SUM(D83:D86)</f>
        <v>4.5360000000000005</v>
      </c>
      <c r="E87" s="26">
        <f t="shared" si="12"/>
        <v>10.854000000000003</v>
      </c>
      <c r="F87" s="26">
        <f t="shared" si="12"/>
        <v>33.695999999999998</v>
      </c>
      <c r="G87" s="26">
        <f>SUM(G83:G86)</f>
        <v>250.61400000000003</v>
      </c>
    </row>
    <row r="88" spans="1:7" ht="17.25" customHeight="1" x14ac:dyDescent="0.35"/>
    <row r="92" spans="1:7" x14ac:dyDescent="0.35">
      <c r="A92" s="81" t="s">
        <v>89</v>
      </c>
    </row>
    <row r="93" spans="1:7" ht="36" x14ac:dyDescent="0.3">
      <c r="A93" s="126" t="s">
        <v>2</v>
      </c>
      <c r="B93" s="115" t="s">
        <v>3</v>
      </c>
      <c r="C93" s="116"/>
      <c r="D93" s="113" t="s">
        <v>4</v>
      </c>
      <c r="E93" s="113" t="s">
        <v>5</v>
      </c>
      <c r="F93" s="113" t="s">
        <v>6</v>
      </c>
      <c r="G93" s="34" t="s">
        <v>7</v>
      </c>
    </row>
    <row r="94" spans="1:7" x14ac:dyDescent="0.3">
      <c r="A94" s="127"/>
      <c r="B94" s="34" t="s">
        <v>8</v>
      </c>
      <c r="C94" s="34" t="s">
        <v>9</v>
      </c>
      <c r="D94" s="114"/>
      <c r="E94" s="114"/>
      <c r="F94" s="114"/>
      <c r="G94" s="34" t="s">
        <v>10</v>
      </c>
    </row>
    <row r="95" spans="1:7" x14ac:dyDescent="0.3">
      <c r="A95" s="82" t="s">
        <v>59</v>
      </c>
      <c r="B95" s="25">
        <v>200</v>
      </c>
      <c r="C95" s="25">
        <f>86%*B95</f>
        <v>172</v>
      </c>
      <c r="D95" s="25"/>
      <c r="E95" s="25"/>
      <c r="F95" s="25">
        <f>12%*C95</f>
        <v>20.64</v>
      </c>
      <c r="G95" s="25">
        <f>4*(D95+F95)+9*E95</f>
        <v>82.56</v>
      </c>
    </row>
    <row r="96" spans="1:7" x14ac:dyDescent="0.3">
      <c r="A96" s="83" t="s">
        <v>13</v>
      </c>
      <c r="B96" s="26">
        <v>400</v>
      </c>
      <c r="C96" s="26">
        <f>B96*100%</f>
        <v>400</v>
      </c>
      <c r="D96" s="26">
        <f>C96*7.9%</f>
        <v>31.6</v>
      </c>
      <c r="E96" s="26">
        <f>C96*1%</f>
        <v>4</v>
      </c>
      <c r="F96" s="26">
        <f>C96*49.6%</f>
        <v>198.4</v>
      </c>
      <c r="G96" s="26">
        <f>4*(D96+F96)+9*E96</f>
        <v>956</v>
      </c>
    </row>
    <row r="97" spans="1:7" x14ac:dyDescent="0.3">
      <c r="A97" s="55" t="s">
        <v>61</v>
      </c>
      <c r="B97" s="119">
        <f>B42+B58+B72+B87+B95+B96</f>
        <v>1710</v>
      </c>
      <c r="C97" s="120"/>
      <c r="D97" s="26">
        <f t="shared" ref="D97:F97" si="13">D42+D58+D72+D87+D95+D96</f>
        <v>81.194820000000007</v>
      </c>
      <c r="E97" s="26">
        <f t="shared" si="13"/>
        <v>59.210499999999996</v>
      </c>
      <c r="F97" s="26">
        <f t="shared" si="13"/>
        <v>330.10649999999998</v>
      </c>
      <c r="G97" s="26">
        <f>G42+G58+G72+G87+G95+G96</f>
        <v>2178.09978</v>
      </c>
    </row>
    <row r="101" spans="1:7" x14ac:dyDescent="0.35">
      <c r="A101" s="81" t="s">
        <v>63</v>
      </c>
    </row>
    <row r="102" spans="1:7" x14ac:dyDescent="0.3">
      <c r="A102" s="110" t="s">
        <v>96</v>
      </c>
      <c r="B102" s="110"/>
      <c r="C102" s="110"/>
      <c r="D102" s="110"/>
      <c r="E102" s="110"/>
      <c r="F102" s="110"/>
      <c r="G102" s="110"/>
    </row>
    <row r="103" spans="1:7" ht="36" x14ac:dyDescent="0.3">
      <c r="A103" s="126" t="s">
        <v>2</v>
      </c>
      <c r="B103" s="115" t="s">
        <v>3</v>
      </c>
      <c r="C103" s="116"/>
      <c r="D103" s="113" t="s">
        <v>4</v>
      </c>
      <c r="E103" s="113" t="s">
        <v>5</v>
      </c>
      <c r="F103" s="113" t="s">
        <v>6</v>
      </c>
      <c r="G103" s="34" t="s">
        <v>7</v>
      </c>
    </row>
    <row r="104" spans="1:7" x14ac:dyDescent="0.3">
      <c r="A104" s="127"/>
      <c r="B104" s="34" t="s">
        <v>8</v>
      </c>
      <c r="C104" s="34" t="s">
        <v>9</v>
      </c>
      <c r="D104" s="114"/>
      <c r="E104" s="114"/>
      <c r="F104" s="114"/>
      <c r="G104" s="34" t="s">
        <v>10</v>
      </c>
    </row>
    <row r="105" spans="1:7" x14ac:dyDescent="0.3">
      <c r="A105" s="82" t="s">
        <v>33</v>
      </c>
      <c r="B105" s="25">
        <v>150</v>
      </c>
      <c r="C105" s="25">
        <f>B105*92%</f>
        <v>138</v>
      </c>
      <c r="D105" s="25">
        <f>23%*C105</f>
        <v>31.740000000000002</v>
      </c>
      <c r="E105" s="25">
        <f>1.9%*C105</f>
        <v>2.6219999999999999</v>
      </c>
      <c r="F105" s="25">
        <f>0.7%*C105</f>
        <v>0.96599999999999986</v>
      </c>
      <c r="G105" s="25">
        <f>4*(D105+F105)+9*E105</f>
        <v>154.42200000000003</v>
      </c>
    </row>
    <row r="106" spans="1:7" x14ac:dyDescent="0.3">
      <c r="A106" s="82" t="s">
        <v>17</v>
      </c>
      <c r="B106" s="25">
        <v>10</v>
      </c>
      <c r="C106" s="25">
        <f>B106*100%</f>
        <v>10</v>
      </c>
      <c r="D106" s="25">
        <f>C106*10%</f>
        <v>1</v>
      </c>
      <c r="E106" s="25">
        <f>C106*1.3%</f>
        <v>0.13</v>
      </c>
      <c r="F106" s="25">
        <f>C106*69%</f>
        <v>6.8999999999999995</v>
      </c>
      <c r="G106" s="25">
        <f>4*(D106+F106)+9*E106</f>
        <v>32.769999999999996</v>
      </c>
    </row>
    <row r="107" spans="1:7" x14ac:dyDescent="0.3">
      <c r="A107" s="82" t="s">
        <v>15</v>
      </c>
      <c r="B107" s="25">
        <v>1</v>
      </c>
      <c r="C107" s="25">
        <f>100%*B107</f>
        <v>1</v>
      </c>
      <c r="D107" s="25"/>
      <c r="E107" s="25"/>
      <c r="F107" s="25"/>
      <c r="G107" s="25">
        <f>4*(D107+F107)+9*E107</f>
        <v>0</v>
      </c>
    </row>
    <row r="108" spans="1:7" x14ac:dyDescent="0.3">
      <c r="A108" s="82" t="s">
        <v>14</v>
      </c>
      <c r="B108" s="25">
        <v>10</v>
      </c>
      <c r="C108" s="25">
        <f>100%*B108</f>
        <v>10</v>
      </c>
      <c r="D108" s="25"/>
      <c r="E108" s="25">
        <f>99.9%*C108</f>
        <v>9.990000000000002</v>
      </c>
      <c r="F108" s="25"/>
      <c r="G108" s="25">
        <f>4*(D108+F108)+9*E108</f>
        <v>89.910000000000025</v>
      </c>
    </row>
    <row r="109" spans="1:7" x14ac:dyDescent="0.3">
      <c r="A109" s="55" t="s">
        <v>16</v>
      </c>
      <c r="B109" s="115">
        <v>110</v>
      </c>
      <c r="C109" s="116"/>
      <c r="D109" s="26">
        <f t="shared" ref="D109:F109" si="14">SUM(D105:D108)</f>
        <v>32.74</v>
      </c>
      <c r="E109" s="26">
        <f t="shared" si="14"/>
        <v>12.742000000000001</v>
      </c>
      <c r="F109" s="26">
        <f t="shared" si="14"/>
        <v>7.8659999999999997</v>
      </c>
      <c r="G109" s="26">
        <f>SUM(G105:G108)</f>
        <v>277.10200000000003</v>
      </c>
    </row>
    <row r="110" spans="1:7" x14ac:dyDescent="0.3">
      <c r="A110" s="86"/>
      <c r="B110" s="29"/>
      <c r="C110" s="29"/>
      <c r="D110" s="30"/>
      <c r="E110" s="30"/>
      <c r="F110" s="30"/>
      <c r="G110" s="30"/>
    </row>
    <row r="111" spans="1:7" x14ac:dyDescent="0.3">
      <c r="A111" s="86"/>
      <c r="B111" s="29"/>
      <c r="C111" s="29"/>
      <c r="D111" s="30"/>
      <c r="E111" s="30"/>
      <c r="F111" s="30"/>
      <c r="G111" s="30"/>
    </row>
    <row r="114" spans="1:7" x14ac:dyDescent="0.3">
      <c r="A114" s="110" t="s">
        <v>90</v>
      </c>
      <c r="B114" s="110"/>
      <c r="C114" s="110"/>
      <c r="D114" s="110"/>
      <c r="E114" s="110"/>
      <c r="F114" s="110"/>
      <c r="G114" s="110"/>
    </row>
    <row r="115" spans="1:7" ht="36" x14ac:dyDescent="0.3">
      <c r="A115" s="126" t="s">
        <v>2</v>
      </c>
      <c r="B115" s="115" t="s">
        <v>3</v>
      </c>
      <c r="C115" s="116"/>
      <c r="D115" s="113" t="s">
        <v>4</v>
      </c>
      <c r="E115" s="113" t="s">
        <v>5</v>
      </c>
      <c r="F115" s="113" t="s">
        <v>6</v>
      </c>
      <c r="G115" s="34" t="s">
        <v>7</v>
      </c>
    </row>
    <row r="116" spans="1:7" x14ac:dyDescent="0.3">
      <c r="A116" s="127"/>
      <c r="B116" s="34" t="s">
        <v>8</v>
      </c>
      <c r="C116" s="34" t="s">
        <v>9</v>
      </c>
      <c r="D116" s="114"/>
      <c r="E116" s="114"/>
      <c r="F116" s="114"/>
      <c r="G116" s="34" t="s">
        <v>10</v>
      </c>
    </row>
    <row r="117" spans="1:7" x14ac:dyDescent="0.3">
      <c r="A117" s="82" t="s">
        <v>45</v>
      </c>
      <c r="B117" s="25">
        <v>65</v>
      </c>
      <c r="C117" s="25">
        <f>80%*B117</f>
        <v>52</v>
      </c>
      <c r="D117" s="25">
        <f>1.77%*C117</f>
        <v>0.9204</v>
      </c>
      <c r="E117" s="25"/>
      <c r="F117" s="25">
        <f>11%*C117</f>
        <v>5.72</v>
      </c>
      <c r="G117" s="25">
        <f t="shared" ref="G117:G122" si="15">4*(D117+F117)+9*E117</f>
        <v>26.561599999999999</v>
      </c>
    </row>
    <row r="118" spans="1:7" x14ac:dyDescent="0.3">
      <c r="A118" s="82" t="s">
        <v>46</v>
      </c>
      <c r="B118" s="25">
        <v>150</v>
      </c>
      <c r="C118" s="25">
        <f>72%*B118</f>
        <v>108</v>
      </c>
      <c r="D118" s="25">
        <f>2.1%*C118</f>
        <v>2.2680000000000002</v>
      </c>
      <c r="E118" s="25">
        <f>0.4%*C118</f>
        <v>0.432</v>
      </c>
      <c r="F118" s="25">
        <f>15.6%*C118</f>
        <v>16.847999999999999</v>
      </c>
      <c r="G118" s="25">
        <f t="shared" si="15"/>
        <v>80.352000000000004</v>
      </c>
    </row>
    <row r="119" spans="1:7" x14ac:dyDescent="0.3">
      <c r="A119" s="82" t="s">
        <v>23</v>
      </c>
      <c r="B119" s="25">
        <v>15</v>
      </c>
      <c r="C119" s="25">
        <f>B119*100%</f>
        <v>15</v>
      </c>
      <c r="D119" s="25">
        <f>C119*20%</f>
        <v>3</v>
      </c>
      <c r="E119" s="25">
        <f>C119*2%</f>
        <v>0.3</v>
      </c>
      <c r="F119" s="25">
        <f>C119*48%</f>
        <v>7.1999999999999993</v>
      </c>
      <c r="G119" s="25">
        <f t="shared" si="15"/>
        <v>43.5</v>
      </c>
    </row>
    <row r="120" spans="1:7" x14ac:dyDescent="0.3">
      <c r="A120" s="82" t="s">
        <v>14</v>
      </c>
      <c r="B120" s="25">
        <v>5</v>
      </c>
      <c r="C120" s="25">
        <f>100%*B120</f>
        <v>5</v>
      </c>
      <c r="D120" s="25"/>
      <c r="E120" s="25">
        <f>99.9%*C120</f>
        <v>4.995000000000001</v>
      </c>
      <c r="F120" s="25"/>
      <c r="G120" s="25">
        <f t="shared" si="15"/>
        <v>44.955000000000013</v>
      </c>
    </row>
    <row r="121" spans="1:7" x14ac:dyDescent="0.3">
      <c r="A121" s="82" t="s">
        <v>42</v>
      </c>
      <c r="B121" s="25">
        <v>14</v>
      </c>
      <c r="C121" s="25">
        <f>85%*B121</f>
        <v>11.9</v>
      </c>
      <c r="D121" s="25"/>
      <c r="E121" s="25"/>
      <c r="F121" s="25"/>
      <c r="G121" s="25">
        <f t="shared" si="15"/>
        <v>0</v>
      </c>
    </row>
    <row r="122" spans="1:7" x14ac:dyDescent="0.3">
      <c r="A122" s="82" t="s">
        <v>15</v>
      </c>
      <c r="B122" s="25">
        <v>1</v>
      </c>
      <c r="C122" s="25">
        <f>100%*B122</f>
        <v>1</v>
      </c>
      <c r="D122" s="25"/>
      <c r="E122" s="25"/>
      <c r="F122" s="25"/>
      <c r="G122" s="25">
        <f t="shared" si="15"/>
        <v>0</v>
      </c>
    </row>
    <row r="123" spans="1:7" x14ac:dyDescent="0.3">
      <c r="A123" s="55" t="s">
        <v>16</v>
      </c>
      <c r="B123" s="115">
        <v>200</v>
      </c>
      <c r="C123" s="116"/>
      <c r="D123" s="26">
        <f t="shared" ref="D123:F123" si="16">SUM(D117:D122)</f>
        <v>6.1883999999999997</v>
      </c>
      <c r="E123" s="26">
        <f t="shared" si="16"/>
        <v>5.7270000000000012</v>
      </c>
      <c r="F123" s="26">
        <f t="shared" si="16"/>
        <v>29.767999999999997</v>
      </c>
      <c r="G123" s="26">
        <f>SUM(G117:G122)</f>
        <v>195.36860000000001</v>
      </c>
    </row>
    <row r="127" spans="1:7" x14ac:dyDescent="0.3">
      <c r="A127" s="110" t="s">
        <v>91</v>
      </c>
      <c r="B127" s="110"/>
      <c r="C127" s="110"/>
      <c r="D127" s="110"/>
      <c r="E127" s="110"/>
      <c r="F127" s="110"/>
      <c r="G127" s="110"/>
    </row>
    <row r="128" spans="1:7" ht="36" x14ac:dyDescent="0.3">
      <c r="A128" s="126" t="s">
        <v>2</v>
      </c>
      <c r="B128" s="115" t="s">
        <v>3</v>
      </c>
      <c r="C128" s="116"/>
      <c r="D128" s="113" t="s">
        <v>4</v>
      </c>
      <c r="E128" s="113" t="s">
        <v>5</v>
      </c>
      <c r="F128" s="113" t="s">
        <v>6</v>
      </c>
      <c r="G128" s="34" t="s">
        <v>7</v>
      </c>
    </row>
    <row r="129" spans="1:7" x14ac:dyDescent="0.3">
      <c r="A129" s="127"/>
      <c r="B129" s="34" t="s">
        <v>8</v>
      </c>
      <c r="C129" s="34" t="s">
        <v>9</v>
      </c>
      <c r="D129" s="114"/>
      <c r="E129" s="114"/>
      <c r="F129" s="114"/>
      <c r="G129" s="34" t="s">
        <v>10</v>
      </c>
    </row>
    <row r="130" spans="1:7" x14ac:dyDescent="0.3">
      <c r="A130" s="82" t="s">
        <v>91</v>
      </c>
      <c r="B130" s="25">
        <v>1</v>
      </c>
      <c r="C130" s="25">
        <f>100%*B130</f>
        <v>1</v>
      </c>
      <c r="D130" s="25"/>
      <c r="E130" s="25"/>
      <c r="F130" s="25"/>
      <c r="G130" s="25">
        <f>4*(D130+F130)+9*E130</f>
        <v>0</v>
      </c>
    </row>
    <row r="131" spans="1:7" x14ac:dyDescent="0.3">
      <c r="A131" s="82" t="s">
        <v>22</v>
      </c>
      <c r="B131" s="25">
        <v>20</v>
      </c>
      <c r="C131" s="25">
        <f>100%*B131</f>
        <v>20</v>
      </c>
      <c r="D131" s="25"/>
      <c r="E131" s="25"/>
      <c r="F131" s="25">
        <f>99%*C131</f>
        <v>19.8</v>
      </c>
      <c r="G131" s="25">
        <f>4*(D131+F131)+9*E131</f>
        <v>79.2</v>
      </c>
    </row>
    <row r="132" spans="1:7" x14ac:dyDescent="0.3">
      <c r="A132" s="83" t="s">
        <v>16</v>
      </c>
      <c r="B132" s="123">
        <v>250</v>
      </c>
      <c r="C132" s="124"/>
      <c r="D132" s="26">
        <f>SUM(D130:D131)</f>
        <v>0</v>
      </c>
      <c r="E132" s="26">
        <f>SUM(E130:E131)</f>
        <v>0</v>
      </c>
      <c r="F132" s="26">
        <f>SUM(F130:F131)</f>
        <v>19.8</v>
      </c>
      <c r="G132" s="26">
        <f>SUM(G130:G131)</f>
        <v>79.2</v>
      </c>
    </row>
    <row r="133" spans="1:7" x14ac:dyDescent="0.3">
      <c r="A133" s="13" t="s">
        <v>28</v>
      </c>
      <c r="B133" s="25">
        <v>10</v>
      </c>
      <c r="C133" s="25">
        <f>100%*B133</f>
        <v>10</v>
      </c>
      <c r="D133" s="25">
        <f>0.5%*C133</f>
        <v>0.05</v>
      </c>
      <c r="E133" s="25">
        <f>82.5%*C133</f>
        <v>8.25</v>
      </c>
      <c r="F133" s="25">
        <f>0.8%*C133</f>
        <v>0.08</v>
      </c>
      <c r="G133" s="25">
        <f>4*(D133+F133)+9*E133</f>
        <v>74.77</v>
      </c>
    </row>
    <row r="134" spans="1:7" x14ac:dyDescent="0.3">
      <c r="A134" s="83" t="s">
        <v>13</v>
      </c>
      <c r="B134" s="26">
        <v>200</v>
      </c>
      <c r="C134" s="26">
        <f>B134*100%</f>
        <v>200</v>
      </c>
      <c r="D134" s="26">
        <f>C134*7.9%</f>
        <v>15.8</v>
      </c>
      <c r="E134" s="26">
        <f>C134*1%</f>
        <v>2</v>
      </c>
      <c r="F134" s="26">
        <f>C134*49.6%</f>
        <v>99.2</v>
      </c>
      <c r="G134" s="26">
        <f>4*(D134+F134)+9*E134</f>
        <v>478</v>
      </c>
    </row>
    <row r="135" spans="1:7" x14ac:dyDescent="0.3">
      <c r="A135" s="55" t="s">
        <v>67</v>
      </c>
      <c r="B135" s="117">
        <f>B109+B123+B133+B134+B132</f>
        <v>770</v>
      </c>
      <c r="C135" s="116"/>
      <c r="D135" s="26">
        <f>D109+D123+D132+D133+D134</f>
        <v>54.778400000000005</v>
      </c>
      <c r="E135" s="26">
        <f>E109+E123+E132+E133+E134</f>
        <v>28.719000000000001</v>
      </c>
      <c r="F135" s="26">
        <f>F109+F123+F132+F133+F134</f>
        <v>156.714</v>
      </c>
      <c r="G135" s="26">
        <f>G109+G123+G132+G133+G134</f>
        <v>1104.4405999999999</v>
      </c>
    </row>
    <row r="138" spans="1:7" x14ac:dyDescent="0.3">
      <c r="A138" s="61" t="s">
        <v>68</v>
      </c>
      <c r="B138" s="129">
        <f>B27+B97+B135</f>
        <v>3250</v>
      </c>
      <c r="C138" s="129"/>
      <c r="D138" s="31">
        <f t="shared" ref="D138:F138" si="17">D27+D97+D135</f>
        <v>166.21122000000003</v>
      </c>
      <c r="E138" s="31">
        <f t="shared" si="17"/>
        <v>107.63</v>
      </c>
      <c r="F138" s="31">
        <f t="shared" si="17"/>
        <v>702.53050000000007</v>
      </c>
      <c r="G138" s="31">
        <f>G27+G97+G135</f>
        <v>4443.63688</v>
      </c>
    </row>
    <row r="139" spans="1:7" s="19" customFormat="1" x14ac:dyDescent="0.35">
      <c r="A139" s="84"/>
      <c r="B139" s="24" t="s">
        <v>95</v>
      </c>
      <c r="C139" s="24"/>
      <c r="D139" s="24"/>
      <c r="E139" s="24"/>
      <c r="F139" s="24"/>
      <c r="G139" s="24"/>
    </row>
    <row r="140" spans="1:7" x14ac:dyDescent="0.35">
      <c r="G140" s="32"/>
    </row>
    <row r="141" spans="1:7" x14ac:dyDescent="0.35">
      <c r="A141" s="81" t="s">
        <v>78</v>
      </c>
      <c r="G141" s="33">
        <f>G27/G138</f>
        <v>0.26129419017694355</v>
      </c>
    </row>
    <row r="142" spans="1:7" x14ac:dyDescent="0.35">
      <c r="A142" s="81" t="s">
        <v>79</v>
      </c>
      <c r="G142" s="33">
        <f>G97/G138</f>
        <v>0.49016151382738549</v>
      </c>
    </row>
    <row r="143" spans="1:7" x14ac:dyDescent="0.35">
      <c r="A143" s="81" t="s">
        <v>80</v>
      </c>
      <c r="G143" s="33">
        <f>G135/G138</f>
        <v>0.24854429599567099</v>
      </c>
    </row>
  </sheetData>
  <mergeCells count="75">
    <mergeCell ref="A1:G1"/>
    <mergeCell ref="B97:C97"/>
    <mergeCell ref="A93:A94"/>
    <mergeCell ref="B93:C93"/>
    <mergeCell ref="D93:D94"/>
    <mergeCell ref="E93:E94"/>
    <mergeCell ref="B135:C135"/>
    <mergeCell ref="A102:G102"/>
    <mergeCell ref="A103:A104"/>
    <mergeCell ref="B103:C103"/>
    <mergeCell ref="D103:D104"/>
    <mergeCell ref="E103:E104"/>
    <mergeCell ref="F103:F104"/>
    <mergeCell ref="F128:F129"/>
    <mergeCell ref="B109:C109"/>
    <mergeCell ref="A114:G114"/>
    <mergeCell ref="A115:A116"/>
    <mergeCell ref="B115:C115"/>
    <mergeCell ref="D115:D116"/>
    <mergeCell ref="E115:E116"/>
    <mergeCell ref="F115:F116"/>
    <mergeCell ref="B138:C138"/>
    <mergeCell ref="B27:C27"/>
    <mergeCell ref="B42:C42"/>
    <mergeCell ref="A46:G46"/>
    <mergeCell ref="A47:A48"/>
    <mergeCell ref="B47:C47"/>
    <mergeCell ref="D47:D48"/>
    <mergeCell ref="E47:E48"/>
    <mergeCell ref="F47:F48"/>
    <mergeCell ref="B132:C132"/>
    <mergeCell ref="B123:C123"/>
    <mergeCell ref="A127:G127"/>
    <mergeCell ref="A128:A129"/>
    <mergeCell ref="B128:C128"/>
    <mergeCell ref="D128:D129"/>
    <mergeCell ref="E128:E129"/>
    <mergeCell ref="F93:F94"/>
    <mergeCell ref="B87:C87"/>
    <mergeCell ref="A80:G80"/>
    <mergeCell ref="A81:A82"/>
    <mergeCell ref="B81:C81"/>
    <mergeCell ref="D81:D82"/>
    <mergeCell ref="E81:E82"/>
    <mergeCell ref="F81:F82"/>
    <mergeCell ref="B72:C72"/>
    <mergeCell ref="A61:G61"/>
    <mergeCell ref="B58:C58"/>
    <mergeCell ref="F62:F63"/>
    <mergeCell ref="A30:G30"/>
    <mergeCell ref="A62:A63"/>
    <mergeCell ref="B62:C62"/>
    <mergeCell ref="D62:D63"/>
    <mergeCell ref="E62:E63"/>
    <mergeCell ref="A31:A32"/>
    <mergeCell ref="B31:C31"/>
    <mergeCell ref="D31:D32"/>
    <mergeCell ref="E31:E32"/>
    <mergeCell ref="F31:F32"/>
    <mergeCell ref="B23:C23"/>
    <mergeCell ref="B14:C14"/>
    <mergeCell ref="A18:G18"/>
    <mergeCell ref="A19:A20"/>
    <mergeCell ref="B19:C19"/>
    <mergeCell ref="D19:D20"/>
    <mergeCell ref="E19:E20"/>
    <mergeCell ref="F19:F20"/>
    <mergeCell ref="A2:G3"/>
    <mergeCell ref="A4:G4"/>
    <mergeCell ref="A6:G6"/>
    <mergeCell ref="A7:A8"/>
    <mergeCell ref="B7:C7"/>
    <mergeCell ref="D7:D8"/>
    <mergeCell ref="E7:E8"/>
    <mergeCell ref="F7:F8"/>
  </mergeCells>
  <pageMargins left="0.2" right="0.2" top="0.41" bottom="1" header="0.5" footer="0.5"/>
  <pageSetup paperSize="9" scale="78" orientation="portrait" r:id="rId1"/>
  <headerFooter alignWithMargins="0"/>
  <rowBreaks count="1" manualBreakCount="1">
    <brk id="121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view="pageBreakPreview" zoomScale="93" zoomScaleNormal="100" zoomScaleSheetLayoutView="93" workbookViewId="0">
      <selection activeCell="A2" sqref="A2:G3"/>
    </sheetView>
  </sheetViews>
  <sheetFormatPr defaultRowHeight="18" x14ac:dyDescent="0.35"/>
  <cols>
    <col min="1" max="1" width="34.85546875" style="24" bestFit="1" customWidth="1"/>
    <col min="2" max="2" width="12" style="24" customWidth="1"/>
    <col min="3" max="3" width="12.5703125" style="24" customWidth="1"/>
    <col min="4" max="4" width="12.28515625" style="24" customWidth="1"/>
    <col min="5" max="5" width="11.28515625" style="24" customWidth="1"/>
    <col min="6" max="6" width="16.140625" style="24" customWidth="1"/>
    <col min="7" max="7" width="20.42578125" style="24" customWidth="1"/>
    <col min="8" max="236" width="9.140625" style="12"/>
    <col min="237" max="237" width="34.85546875" style="12" bestFit="1" customWidth="1"/>
    <col min="238" max="238" width="12" style="12" customWidth="1"/>
    <col min="239" max="239" width="12.5703125" style="12" customWidth="1"/>
    <col min="240" max="240" width="12.28515625" style="12" customWidth="1"/>
    <col min="241" max="241" width="11.28515625" style="12" customWidth="1"/>
    <col min="242" max="242" width="16.140625" style="12" customWidth="1"/>
    <col min="243" max="243" width="20.42578125" style="12" customWidth="1"/>
    <col min="244" max="492" width="9.140625" style="12"/>
    <col min="493" max="493" width="34.85546875" style="12" bestFit="1" customWidth="1"/>
    <col min="494" max="494" width="12" style="12" customWidth="1"/>
    <col min="495" max="495" width="12.5703125" style="12" customWidth="1"/>
    <col min="496" max="496" width="12.28515625" style="12" customWidth="1"/>
    <col min="497" max="497" width="11.28515625" style="12" customWidth="1"/>
    <col min="498" max="498" width="16.140625" style="12" customWidth="1"/>
    <col min="499" max="499" width="20.42578125" style="12" customWidth="1"/>
    <col min="500" max="748" width="9.140625" style="12"/>
    <col min="749" max="749" width="34.85546875" style="12" bestFit="1" customWidth="1"/>
    <col min="750" max="750" width="12" style="12" customWidth="1"/>
    <col min="751" max="751" width="12.5703125" style="12" customWidth="1"/>
    <col min="752" max="752" width="12.28515625" style="12" customWidth="1"/>
    <col min="753" max="753" width="11.28515625" style="12" customWidth="1"/>
    <col min="754" max="754" width="16.140625" style="12" customWidth="1"/>
    <col min="755" max="755" width="20.42578125" style="12" customWidth="1"/>
    <col min="756" max="1004" width="9.140625" style="12"/>
    <col min="1005" max="1005" width="34.85546875" style="12" bestFit="1" customWidth="1"/>
    <col min="1006" max="1006" width="12" style="12" customWidth="1"/>
    <col min="1007" max="1007" width="12.5703125" style="12" customWidth="1"/>
    <col min="1008" max="1008" width="12.28515625" style="12" customWidth="1"/>
    <col min="1009" max="1009" width="11.28515625" style="12" customWidth="1"/>
    <col min="1010" max="1010" width="16.140625" style="12" customWidth="1"/>
    <col min="1011" max="1011" width="20.42578125" style="12" customWidth="1"/>
    <col min="1012" max="1260" width="9.140625" style="12"/>
    <col min="1261" max="1261" width="34.85546875" style="12" bestFit="1" customWidth="1"/>
    <col min="1262" max="1262" width="12" style="12" customWidth="1"/>
    <col min="1263" max="1263" width="12.5703125" style="12" customWidth="1"/>
    <col min="1264" max="1264" width="12.28515625" style="12" customWidth="1"/>
    <col min="1265" max="1265" width="11.28515625" style="12" customWidth="1"/>
    <col min="1266" max="1266" width="16.140625" style="12" customWidth="1"/>
    <col min="1267" max="1267" width="20.42578125" style="12" customWidth="1"/>
    <col min="1268" max="1516" width="9.140625" style="12"/>
    <col min="1517" max="1517" width="34.85546875" style="12" bestFit="1" customWidth="1"/>
    <col min="1518" max="1518" width="12" style="12" customWidth="1"/>
    <col min="1519" max="1519" width="12.5703125" style="12" customWidth="1"/>
    <col min="1520" max="1520" width="12.28515625" style="12" customWidth="1"/>
    <col min="1521" max="1521" width="11.28515625" style="12" customWidth="1"/>
    <col min="1522" max="1522" width="16.140625" style="12" customWidth="1"/>
    <col min="1523" max="1523" width="20.42578125" style="12" customWidth="1"/>
    <col min="1524" max="1772" width="9.140625" style="12"/>
    <col min="1773" max="1773" width="34.85546875" style="12" bestFit="1" customWidth="1"/>
    <col min="1774" max="1774" width="12" style="12" customWidth="1"/>
    <col min="1775" max="1775" width="12.5703125" style="12" customWidth="1"/>
    <col min="1776" max="1776" width="12.28515625" style="12" customWidth="1"/>
    <col min="1777" max="1777" width="11.28515625" style="12" customWidth="1"/>
    <col min="1778" max="1778" width="16.140625" style="12" customWidth="1"/>
    <col min="1779" max="1779" width="20.42578125" style="12" customWidth="1"/>
    <col min="1780" max="2028" width="9.140625" style="12"/>
    <col min="2029" max="2029" width="34.85546875" style="12" bestFit="1" customWidth="1"/>
    <col min="2030" max="2030" width="12" style="12" customWidth="1"/>
    <col min="2031" max="2031" width="12.5703125" style="12" customWidth="1"/>
    <col min="2032" max="2032" width="12.28515625" style="12" customWidth="1"/>
    <col min="2033" max="2033" width="11.28515625" style="12" customWidth="1"/>
    <col min="2034" max="2034" width="16.140625" style="12" customWidth="1"/>
    <col min="2035" max="2035" width="20.42578125" style="12" customWidth="1"/>
    <col min="2036" max="2284" width="9.140625" style="12"/>
    <col min="2285" max="2285" width="34.85546875" style="12" bestFit="1" customWidth="1"/>
    <col min="2286" max="2286" width="12" style="12" customWidth="1"/>
    <col min="2287" max="2287" width="12.5703125" style="12" customWidth="1"/>
    <col min="2288" max="2288" width="12.28515625" style="12" customWidth="1"/>
    <col min="2289" max="2289" width="11.28515625" style="12" customWidth="1"/>
    <col min="2290" max="2290" width="16.140625" style="12" customWidth="1"/>
    <col min="2291" max="2291" width="20.42578125" style="12" customWidth="1"/>
    <col min="2292" max="2540" width="9.140625" style="12"/>
    <col min="2541" max="2541" width="34.85546875" style="12" bestFit="1" customWidth="1"/>
    <col min="2542" max="2542" width="12" style="12" customWidth="1"/>
    <col min="2543" max="2543" width="12.5703125" style="12" customWidth="1"/>
    <col min="2544" max="2544" width="12.28515625" style="12" customWidth="1"/>
    <col min="2545" max="2545" width="11.28515625" style="12" customWidth="1"/>
    <col min="2546" max="2546" width="16.140625" style="12" customWidth="1"/>
    <col min="2547" max="2547" width="20.42578125" style="12" customWidth="1"/>
    <col min="2548" max="2796" width="9.140625" style="12"/>
    <col min="2797" max="2797" width="34.85546875" style="12" bestFit="1" customWidth="1"/>
    <col min="2798" max="2798" width="12" style="12" customWidth="1"/>
    <col min="2799" max="2799" width="12.5703125" style="12" customWidth="1"/>
    <col min="2800" max="2800" width="12.28515625" style="12" customWidth="1"/>
    <col min="2801" max="2801" width="11.28515625" style="12" customWidth="1"/>
    <col min="2802" max="2802" width="16.140625" style="12" customWidth="1"/>
    <col min="2803" max="2803" width="20.42578125" style="12" customWidth="1"/>
    <col min="2804" max="3052" width="9.140625" style="12"/>
    <col min="3053" max="3053" width="34.85546875" style="12" bestFit="1" customWidth="1"/>
    <col min="3054" max="3054" width="12" style="12" customWidth="1"/>
    <col min="3055" max="3055" width="12.5703125" style="12" customWidth="1"/>
    <col min="3056" max="3056" width="12.28515625" style="12" customWidth="1"/>
    <col min="3057" max="3057" width="11.28515625" style="12" customWidth="1"/>
    <col min="3058" max="3058" width="16.140625" style="12" customWidth="1"/>
    <col min="3059" max="3059" width="20.42578125" style="12" customWidth="1"/>
    <col min="3060" max="3308" width="9.140625" style="12"/>
    <col min="3309" max="3309" width="34.85546875" style="12" bestFit="1" customWidth="1"/>
    <col min="3310" max="3310" width="12" style="12" customWidth="1"/>
    <col min="3311" max="3311" width="12.5703125" style="12" customWidth="1"/>
    <col min="3312" max="3312" width="12.28515625" style="12" customWidth="1"/>
    <col min="3313" max="3313" width="11.28515625" style="12" customWidth="1"/>
    <col min="3314" max="3314" width="16.140625" style="12" customWidth="1"/>
    <col min="3315" max="3315" width="20.42578125" style="12" customWidth="1"/>
    <col min="3316" max="3564" width="9.140625" style="12"/>
    <col min="3565" max="3565" width="34.85546875" style="12" bestFit="1" customWidth="1"/>
    <col min="3566" max="3566" width="12" style="12" customWidth="1"/>
    <col min="3567" max="3567" width="12.5703125" style="12" customWidth="1"/>
    <col min="3568" max="3568" width="12.28515625" style="12" customWidth="1"/>
    <col min="3569" max="3569" width="11.28515625" style="12" customWidth="1"/>
    <col min="3570" max="3570" width="16.140625" style="12" customWidth="1"/>
    <col min="3571" max="3571" width="20.42578125" style="12" customWidth="1"/>
    <col min="3572" max="3820" width="9.140625" style="12"/>
    <col min="3821" max="3821" width="34.85546875" style="12" bestFit="1" customWidth="1"/>
    <col min="3822" max="3822" width="12" style="12" customWidth="1"/>
    <col min="3823" max="3823" width="12.5703125" style="12" customWidth="1"/>
    <col min="3824" max="3824" width="12.28515625" style="12" customWidth="1"/>
    <col min="3825" max="3825" width="11.28515625" style="12" customWidth="1"/>
    <col min="3826" max="3826" width="16.140625" style="12" customWidth="1"/>
    <col min="3827" max="3827" width="20.42578125" style="12" customWidth="1"/>
    <col min="3828" max="4076" width="9.140625" style="12"/>
    <col min="4077" max="4077" width="34.85546875" style="12" bestFit="1" customWidth="1"/>
    <col min="4078" max="4078" width="12" style="12" customWidth="1"/>
    <col min="4079" max="4079" width="12.5703125" style="12" customWidth="1"/>
    <col min="4080" max="4080" width="12.28515625" style="12" customWidth="1"/>
    <col min="4081" max="4081" width="11.28515625" style="12" customWidth="1"/>
    <col min="4082" max="4082" width="16.140625" style="12" customWidth="1"/>
    <col min="4083" max="4083" width="20.42578125" style="12" customWidth="1"/>
    <col min="4084" max="4332" width="9.140625" style="12"/>
    <col min="4333" max="4333" width="34.85546875" style="12" bestFit="1" customWidth="1"/>
    <col min="4334" max="4334" width="12" style="12" customWidth="1"/>
    <col min="4335" max="4335" width="12.5703125" style="12" customWidth="1"/>
    <col min="4336" max="4336" width="12.28515625" style="12" customWidth="1"/>
    <col min="4337" max="4337" width="11.28515625" style="12" customWidth="1"/>
    <col min="4338" max="4338" width="16.140625" style="12" customWidth="1"/>
    <col min="4339" max="4339" width="20.42578125" style="12" customWidth="1"/>
    <col min="4340" max="4588" width="9.140625" style="12"/>
    <col min="4589" max="4589" width="34.85546875" style="12" bestFit="1" customWidth="1"/>
    <col min="4590" max="4590" width="12" style="12" customWidth="1"/>
    <col min="4591" max="4591" width="12.5703125" style="12" customWidth="1"/>
    <col min="4592" max="4592" width="12.28515625" style="12" customWidth="1"/>
    <col min="4593" max="4593" width="11.28515625" style="12" customWidth="1"/>
    <col min="4594" max="4594" width="16.140625" style="12" customWidth="1"/>
    <col min="4595" max="4595" width="20.42578125" style="12" customWidth="1"/>
    <col min="4596" max="4844" width="9.140625" style="12"/>
    <col min="4845" max="4845" width="34.85546875" style="12" bestFit="1" customWidth="1"/>
    <col min="4846" max="4846" width="12" style="12" customWidth="1"/>
    <col min="4847" max="4847" width="12.5703125" style="12" customWidth="1"/>
    <col min="4848" max="4848" width="12.28515625" style="12" customWidth="1"/>
    <col min="4849" max="4849" width="11.28515625" style="12" customWidth="1"/>
    <col min="4850" max="4850" width="16.140625" style="12" customWidth="1"/>
    <col min="4851" max="4851" width="20.42578125" style="12" customWidth="1"/>
    <col min="4852" max="5100" width="9.140625" style="12"/>
    <col min="5101" max="5101" width="34.85546875" style="12" bestFit="1" customWidth="1"/>
    <col min="5102" max="5102" width="12" style="12" customWidth="1"/>
    <col min="5103" max="5103" width="12.5703125" style="12" customWidth="1"/>
    <col min="5104" max="5104" width="12.28515625" style="12" customWidth="1"/>
    <col min="5105" max="5105" width="11.28515625" style="12" customWidth="1"/>
    <col min="5106" max="5106" width="16.140625" style="12" customWidth="1"/>
    <col min="5107" max="5107" width="20.42578125" style="12" customWidth="1"/>
    <col min="5108" max="5356" width="9.140625" style="12"/>
    <col min="5357" max="5357" width="34.85546875" style="12" bestFit="1" customWidth="1"/>
    <col min="5358" max="5358" width="12" style="12" customWidth="1"/>
    <col min="5359" max="5359" width="12.5703125" style="12" customWidth="1"/>
    <col min="5360" max="5360" width="12.28515625" style="12" customWidth="1"/>
    <col min="5361" max="5361" width="11.28515625" style="12" customWidth="1"/>
    <col min="5362" max="5362" width="16.140625" style="12" customWidth="1"/>
    <col min="5363" max="5363" width="20.42578125" style="12" customWidth="1"/>
    <col min="5364" max="5612" width="9.140625" style="12"/>
    <col min="5613" max="5613" width="34.85546875" style="12" bestFit="1" customWidth="1"/>
    <col min="5614" max="5614" width="12" style="12" customWidth="1"/>
    <col min="5615" max="5615" width="12.5703125" style="12" customWidth="1"/>
    <col min="5616" max="5616" width="12.28515625" style="12" customWidth="1"/>
    <col min="5617" max="5617" width="11.28515625" style="12" customWidth="1"/>
    <col min="5618" max="5618" width="16.140625" style="12" customWidth="1"/>
    <col min="5619" max="5619" width="20.42578125" style="12" customWidth="1"/>
    <col min="5620" max="5868" width="9.140625" style="12"/>
    <col min="5869" max="5869" width="34.85546875" style="12" bestFit="1" customWidth="1"/>
    <col min="5870" max="5870" width="12" style="12" customWidth="1"/>
    <col min="5871" max="5871" width="12.5703125" style="12" customWidth="1"/>
    <col min="5872" max="5872" width="12.28515625" style="12" customWidth="1"/>
    <col min="5873" max="5873" width="11.28515625" style="12" customWidth="1"/>
    <col min="5874" max="5874" width="16.140625" style="12" customWidth="1"/>
    <col min="5875" max="5875" width="20.42578125" style="12" customWidth="1"/>
    <col min="5876" max="6124" width="9.140625" style="12"/>
    <col min="6125" max="6125" width="34.85546875" style="12" bestFit="1" customWidth="1"/>
    <col min="6126" max="6126" width="12" style="12" customWidth="1"/>
    <col min="6127" max="6127" width="12.5703125" style="12" customWidth="1"/>
    <col min="6128" max="6128" width="12.28515625" style="12" customWidth="1"/>
    <col min="6129" max="6129" width="11.28515625" style="12" customWidth="1"/>
    <col min="6130" max="6130" width="16.140625" style="12" customWidth="1"/>
    <col min="6131" max="6131" width="20.42578125" style="12" customWidth="1"/>
    <col min="6132" max="6380" width="9.140625" style="12"/>
    <col min="6381" max="6381" width="34.85546875" style="12" bestFit="1" customWidth="1"/>
    <col min="6382" max="6382" width="12" style="12" customWidth="1"/>
    <col min="6383" max="6383" width="12.5703125" style="12" customWidth="1"/>
    <col min="6384" max="6384" width="12.28515625" style="12" customWidth="1"/>
    <col min="6385" max="6385" width="11.28515625" style="12" customWidth="1"/>
    <col min="6386" max="6386" width="16.140625" style="12" customWidth="1"/>
    <col min="6387" max="6387" width="20.42578125" style="12" customWidth="1"/>
    <col min="6388" max="6636" width="9.140625" style="12"/>
    <col min="6637" max="6637" width="34.85546875" style="12" bestFit="1" customWidth="1"/>
    <col min="6638" max="6638" width="12" style="12" customWidth="1"/>
    <col min="6639" max="6639" width="12.5703125" style="12" customWidth="1"/>
    <col min="6640" max="6640" width="12.28515625" style="12" customWidth="1"/>
    <col min="6641" max="6641" width="11.28515625" style="12" customWidth="1"/>
    <col min="6642" max="6642" width="16.140625" style="12" customWidth="1"/>
    <col min="6643" max="6643" width="20.42578125" style="12" customWidth="1"/>
    <col min="6644" max="6892" width="9.140625" style="12"/>
    <col min="6893" max="6893" width="34.85546875" style="12" bestFit="1" customWidth="1"/>
    <col min="6894" max="6894" width="12" style="12" customWidth="1"/>
    <col min="6895" max="6895" width="12.5703125" style="12" customWidth="1"/>
    <col min="6896" max="6896" width="12.28515625" style="12" customWidth="1"/>
    <col min="6897" max="6897" width="11.28515625" style="12" customWidth="1"/>
    <col min="6898" max="6898" width="16.140625" style="12" customWidth="1"/>
    <col min="6899" max="6899" width="20.42578125" style="12" customWidth="1"/>
    <col min="6900" max="7148" width="9.140625" style="12"/>
    <col min="7149" max="7149" width="34.85546875" style="12" bestFit="1" customWidth="1"/>
    <col min="7150" max="7150" width="12" style="12" customWidth="1"/>
    <col min="7151" max="7151" width="12.5703125" style="12" customWidth="1"/>
    <col min="7152" max="7152" width="12.28515625" style="12" customWidth="1"/>
    <col min="7153" max="7153" width="11.28515625" style="12" customWidth="1"/>
    <col min="7154" max="7154" width="16.140625" style="12" customWidth="1"/>
    <col min="7155" max="7155" width="20.42578125" style="12" customWidth="1"/>
    <col min="7156" max="7404" width="9.140625" style="12"/>
    <col min="7405" max="7405" width="34.85546875" style="12" bestFit="1" customWidth="1"/>
    <col min="7406" max="7406" width="12" style="12" customWidth="1"/>
    <col min="7407" max="7407" width="12.5703125" style="12" customWidth="1"/>
    <col min="7408" max="7408" width="12.28515625" style="12" customWidth="1"/>
    <col min="7409" max="7409" width="11.28515625" style="12" customWidth="1"/>
    <col min="7410" max="7410" width="16.140625" style="12" customWidth="1"/>
    <col min="7411" max="7411" width="20.42578125" style="12" customWidth="1"/>
    <col min="7412" max="7660" width="9.140625" style="12"/>
    <col min="7661" max="7661" width="34.85546875" style="12" bestFit="1" customWidth="1"/>
    <col min="7662" max="7662" width="12" style="12" customWidth="1"/>
    <col min="7663" max="7663" width="12.5703125" style="12" customWidth="1"/>
    <col min="7664" max="7664" width="12.28515625" style="12" customWidth="1"/>
    <col min="7665" max="7665" width="11.28515625" style="12" customWidth="1"/>
    <col min="7666" max="7666" width="16.140625" style="12" customWidth="1"/>
    <col min="7667" max="7667" width="20.42578125" style="12" customWidth="1"/>
    <col min="7668" max="7916" width="9.140625" style="12"/>
    <col min="7917" max="7917" width="34.85546875" style="12" bestFit="1" customWidth="1"/>
    <col min="7918" max="7918" width="12" style="12" customWidth="1"/>
    <col min="7919" max="7919" width="12.5703125" style="12" customWidth="1"/>
    <col min="7920" max="7920" width="12.28515625" style="12" customWidth="1"/>
    <col min="7921" max="7921" width="11.28515625" style="12" customWidth="1"/>
    <col min="7922" max="7922" width="16.140625" style="12" customWidth="1"/>
    <col min="7923" max="7923" width="20.42578125" style="12" customWidth="1"/>
    <col min="7924" max="8172" width="9.140625" style="12"/>
    <col min="8173" max="8173" width="34.85546875" style="12" bestFit="1" customWidth="1"/>
    <col min="8174" max="8174" width="12" style="12" customWidth="1"/>
    <col min="8175" max="8175" width="12.5703125" style="12" customWidth="1"/>
    <col min="8176" max="8176" width="12.28515625" style="12" customWidth="1"/>
    <col min="8177" max="8177" width="11.28515625" style="12" customWidth="1"/>
    <col min="8178" max="8178" width="16.140625" style="12" customWidth="1"/>
    <col min="8179" max="8179" width="20.42578125" style="12" customWidth="1"/>
    <col min="8180" max="8428" width="9.140625" style="12"/>
    <col min="8429" max="8429" width="34.85546875" style="12" bestFit="1" customWidth="1"/>
    <col min="8430" max="8430" width="12" style="12" customWidth="1"/>
    <col min="8431" max="8431" width="12.5703125" style="12" customWidth="1"/>
    <col min="8432" max="8432" width="12.28515625" style="12" customWidth="1"/>
    <col min="8433" max="8433" width="11.28515625" style="12" customWidth="1"/>
    <col min="8434" max="8434" width="16.140625" style="12" customWidth="1"/>
    <col min="8435" max="8435" width="20.42578125" style="12" customWidth="1"/>
    <col min="8436" max="8684" width="9.140625" style="12"/>
    <col min="8685" max="8685" width="34.85546875" style="12" bestFit="1" customWidth="1"/>
    <col min="8686" max="8686" width="12" style="12" customWidth="1"/>
    <col min="8687" max="8687" width="12.5703125" style="12" customWidth="1"/>
    <col min="8688" max="8688" width="12.28515625" style="12" customWidth="1"/>
    <col min="8689" max="8689" width="11.28515625" style="12" customWidth="1"/>
    <col min="8690" max="8690" width="16.140625" style="12" customWidth="1"/>
    <col min="8691" max="8691" width="20.42578125" style="12" customWidth="1"/>
    <col min="8692" max="8940" width="9.140625" style="12"/>
    <col min="8941" max="8941" width="34.85546875" style="12" bestFit="1" customWidth="1"/>
    <col min="8942" max="8942" width="12" style="12" customWidth="1"/>
    <col min="8943" max="8943" width="12.5703125" style="12" customWidth="1"/>
    <col min="8944" max="8944" width="12.28515625" style="12" customWidth="1"/>
    <col min="8945" max="8945" width="11.28515625" style="12" customWidth="1"/>
    <col min="8946" max="8946" width="16.140625" style="12" customWidth="1"/>
    <col min="8947" max="8947" width="20.42578125" style="12" customWidth="1"/>
    <col min="8948" max="9196" width="9.140625" style="12"/>
    <col min="9197" max="9197" width="34.85546875" style="12" bestFit="1" customWidth="1"/>
    <col min="9198" max="9198" width="12" style="12" customWidth="1"/>
    <col min="9199" max="9199" width="12.5703125" style="12" customWidth="1"/>
    <col min="9200" max="9200" width="12.28515625" style="12" customWidth="1"/>
    <col min="9201" max="9201" width="11.28515625" style="12" customWidth="1"/>
    <col min="9202" max="9202" width="16.140625" style="12" customWidth="1"/>
    <col min="9203" max="9203" width="20.42578125" style="12" customWidth="1"/>
    <col min="9204" max="9452" width="9.140625" style="12"/>
    <col min="9453" max="9453" width="34.85546875" style="12" bestFit="1" customWidth="1"/>
    <col min="9454" max="9454" width="12" style="12" customWidth="1"/>
    <col min="9455" max="9455" width="12.5703125" style="12" customWidth="1"/>
    <col min="9456" max="9456" width="12.28515625" style="12" customWidth="1"/>
    <col min="9457" max="9457" width="11.28515625" style="12" customWidth="1"/>
    <col min="9458" max="9458" width="16.140625" style="12" customWidth="1"/>
    <col min="9459" max="9459" width="20.42578125" style="12" customWidth="1"/>
    <col min="9460" max="9708" width="9.140625" style="12"/>
    <col min="9709" max="9709" width="34.85546875" style="12" bestFit="1" customWidth="1"/>
    <col min="9710" max="9710" width="12" style="12" customWidth="1"/>
    <col min="9711" max="9711" width="12.5703125" style="12" customWidth="1"/>
    <col min="9712" max="9712" width="12.28515625" style="12" customWidth="1"/>
    <col min="9713" max="9713" width="11.28515625" style="12" customWidth="1"/>
    <col min="9714" max="9714" width="16.140625" style="12" customWidth="1"/>
    <col min="9715" max="9715" width="20.42578125" style="12" customWidth="1"/>
    <col min="9716" max="9964" width="9.140625" style="12"/>
    <col min="9965" max="9965" width="34.85546875" style="12" bestFit="1" customWidth="1"/>
    <col min="9966" max="9966" width="12" style="12" customWidth="1"/>
    <col min="9967" max="9967" width="12.5703125" style="12" customWidth="1"/>
    <col min="9968" max="9968" width="12.28515625" style="12" customWidth="1"/>
    <col min="9969" max="9969" width="11.28515625" style="12" customWidth="1"/>
    <col min="9970" max="9970" width="16.140625" style="12" customWidth="1"/>
    <col min="9971" max="9971" width="20.42578125" style="12" customWidth="1"/>
    <col min="9972" max="10220" width="9.140625" style="12"/>
    <col min="10221" max="10221" width="34.85546875" style="12" bestFit="1" customWidth="1"/>
    <col min="10222" max="10222" width="12" style="12" customWidth="1"/>
    <col min="10223" max="10223" width="12.5703125" style="12" customWidth="1"/>
    <col min="10224" max="10224" width="12.28515625" style="12" customWidth="1"/>
    <col min="10225" max="10225" width="11.28515625" style="12" customWidth="1"/>
    <col min="10226" max="10226" width="16.140625" style="12" customWidth="1"/>
    <col min="10227" max="10227" width="20.42578125" style="12" customWidth="1"/>
    <col min="10228" max="10476" width="9.140625" style="12"/>
    <col min="10477" max="10477" width="34.85546875" style="12" bestFit="1" customWidth="1"/>
    <col min="10478" max="10478" width="12" style="12" customWidth="1"/>
    <col min="10479" max="10479" width="12.5703125" style="12" customWidth="1"/>
    <col min="10480" max="10480" width="12.28515625" style="12" customWidth="1"/>
    <col min="10481" max="10481" width="11.28515625" style="12" customWidth="1"/>
    <col min="10482" max="10482" width="16.140625" style="12" customWidth="1"/>
    <col min="10483" max="10483" width="20.42578125" style="12" customWidth="1"/>
    <col min="10484" max="10732" width="9.140625" style="12"/>
    <col min="10733" max="10733" width="34.85546875" style="12" bestFit="1" customWidth="1"/>
    <col min="10734" max="10734" width="12" style="12" customWidth="1"/>
    <col min="10735" max="10735" width="12.5703125" style="12" customWidth="1"/>
    <col min="10736" max="10736" width="12.28515625" style="12" customWidth="1"/>
    <col min="10737" max="10737" width="11.28515625" style="12" customWidth="1"/>
    <col min="10738" max="10738" width="16.140625" style="12" customWidth="1"/>
    <col min="10739" max="10739" width="20.42578125" style="12" customWidth="1"/>
    <col min="10740" max="10988" width="9.140625" style="12"/>
    <col min="10989" max="10989" width="34.85546875" style="12" bestFit="1" customWidth="1"/>
    <col min="10990" max="10990" width="12" style="12" customWidth="1"/>
    <col min="10991" max="10991" width="12.5703125" style="12" customWidth="1"/>
    <col min="10992" max="10992" width="12.28515625" style="12" customWidth="1"/>
    <col min="10993" max="10993" width="11.28515625" style="12" customWidth="1"/>
    <col min="10994" max="10994" width="16.140625" style="12" customWidth="1"/>
    <col min="10995" max="10995" width="20.42578125" style="12" customWidth="1"/>
    <col min="10996" max="11244" width="9.140625" style="12"/>
    <col min="11245" max="11245" width="34.85546875" style="12" bestFit="1" customWidth="1"/>
    <col min="11246" max="11246" width="12" style="12" customWidth="1"/>
    <col min="11247" max="11247" width="12.5703125" style="12" customWidth="1"/>
    <col min="11248" max="11248" width="12.28515625" style="12" customWidth="1"/>
    <col min="11249" max="11249" width="11.28515625" style="12" customWidth="1"/>
    <col min="11250" max="11250" width="16.140625" style="12" customWidth="1"/>
    <col min="11251" max="11251" width="20.42578125" style="12" customWidth="1"/>
    <col min="11252" max="11500" width="9.140625" style="12"/>
    <col min="11501" max="11501" width="34.85546875" style="12" bestFit="1" customWidth="1"/>
    <col min="11502" max="11502" width="12" style="12" customWidth="1"/>
    <col min="11503" max="11503" width="12.5703125" style="12" customWidth="1"/>
    <col min="11504" max="11504" width="12.28515625" style="12" customWidth="1"/>
    <col min="11505" max="11505" width="11.28515625" style="12" customWidth="1"/>
    <col min="11506" max="11506" width="16.140625" style="12" customWidth="1"/>
    <col min="11507" max="11507" width="20.42578125" style="12" customWidth="1"/>
    <col min="11508" max="11756" width="9.140625" style="12"/>
    <col min="11757" max="11757" width="34.85546875" style="12" bestFit="1" customWidth="1"/>
    <col min="11758" max="11758" width="12" style="12" customWidth="1"/>
    <col min="11759" max="11759" width="12.5703125" style="12" customWidth="1"/>
    <col min="11760" max="11760" width="12.28515625" style="12" customWidth="1"/>
    <col min="11761" max="11761" width="11.28515625" style="12" customWidth="1"/>
    <col min="11762" max="11762" width="16.140625" style="12" customWidth="1"/>
    <col min="11763" max="11763" width="20.42578125" style="12" customWidth="1"/>
    <col min="11764" max="12012" width="9.140625" style="12"/>
    <col min="12013" max="12013" width="34.85546875" style="12" bestFit="1" customWidth="1"/>
    <col min="12014" max="12014" width="12" style="12" customWidth="1"/>
    <col min="12015" max="12015" width="12.5703125" style="12" customWidth="1"/>
    <col min="12016" max="12016" width="12.28515625" style="12" customWidth="1"/>
    <col min="12017" max="12017" width="11.28515625" style="12" customWidth="1"/>
    <col min="12018" max="12018" width="16.140625" style="12" customWidth="1"/>
    <col min="12019" max="12019" width="20.42578125" style="12" customWidth="1"/>
    <col min="12020" max="12268" width="9.140625" style="12"/>
    <col min="12269" max="12269" width="34.85546875" style="12" bestFit="1" customWidth="1"/>
    <col min="12270" max="12270" width="12" style="12" customWidth="1"/>
    <col min="12271" max="12271" width="12.5703125" style="12" customWidth="1"/>
    <col min="12272" max="12272" width="12.28515625" style="12" customWidth="1"/>
    <col min="12273" max="12273" width="11.28515625" style="12" customWidth="1"/>
    <col min="12274" max="12274" width="16.140625" style="12" customWidth="1"/>
    <col min="12275" max="12275" width="20.42578125" style="12" customWidth="1"/>
    <col min="12276" max="12524" width="9.140625" style="12"/>
    <col min="12525" max="12525" width="34.85546875" style="12" bestFit="1" customWidth="1"/>
    <col min="12526" max="12526" width="12" style="12" customWidth="1"/>
    <col min="12527" max="12527" width="12.5703125" style="12" customWidth="1"/>
    <col min="12528" max="12528" width="12.28515625" style="12" customWidth="1"/>
    <col min="12529" max="12529" width="11.28515625" style="12" customWidth="1"/>
    <col min="12530" max="12530" width="16.140625" style="12" customWidth="1"/>
    <col min="12531" max="12531" width="20.42578125" style="12" customWidth="1"/>
    <col min="12532" max="12780" width="9.140625" style="12"/>
    <col min="12781" max="12781" width="34.85546875" style="12" bestFit="1" customWidth="1"/>
    <col min="12782" max="12782" width="12" style="12" customWidth="1"/>
    <col min="12783" max="12783" width="12.5703125" style="12" customWidth="1"/>
    <col min="12784" max="12784" width="12.28515625" style="12" customWidth="1"/>
    <col min="12785" max="12785" width="11.28515625" style="12" customWidth="1"/>
    <col min="12786" max="12786" width="16.140625" style="12" customWidth="1"/>
    <col min="12787" max="12787" width="20.42578125" style="12" customWidth="1"/>
    <col min="12788" max="13036" width="9.140625" style="12"/>
    <col min="13037" max="13037" width="34.85546875" style="12" bestFit="1" customWidth="1"/>
    <col min="13038" max="13038" width="12" style="12" customWidth="1"/>
    <col min="13039" max="13039" width="12.5703125" style="12" customWidth="1"/>
    <col min="13040" max="13040" width="12.28515625" style="12" customWidth="1"/>
    <col min="13041" max="13041" width="11.28515625" style="12" customWidth="1"/>
    <col min="13042" max="13042" width="16.140625" style="12" customWidth="1"/>
    <col min="13043" max="13043" width="20.42578125" style="12" customWidth="1"/>
    <col min="13044" max="13292" width="9.140625" style="12"/>
    <col min="13293" max="13293" width="34.85546875" style="12" bestFit="1" customWidth="1"/>
    <col min="13294" max="13294" width="12" style="12" customWidth="1"/>
    <col min="13295" max="13295" width="12.5703125" style="12" customWidth="1"/>
    <col min="13296" max="13296" width="12.28515625" style="12" customWidth="1"/>
    <col min="13297" max="13297" width="11.28515625" style="12" customWidth="1"/>
    <col min="13298" max="13298" width="16.140625" style="12" customWidth="1"/>
    <col min="13299" max="13299" width="20.42578125" style="12" customWidth="1"/>
    <col min="13300" max="13548" width="9.140625" style="12"/>
    <col min="13549" max="13549" width="34.85546875" style="12" bestFit="1" customWidth="1"/>
    <col min="13550" max="13550" width="12" style="12" customWidth="1"/>
    <col min="13551" max="13551" width="12.5703125" style="12" customWidth="1"/>
    <col min="13552" max="13552" width="12.28515625" style="12" customWidth="1"/>
    <col min="13553" max="13553" width="11.28515625" style="12" customWidth="1"/>
    <col min="13554" max="13554" width="16.140625" style="12" customWidth="1"/>
    <col min="13555" max="13555" width="20.42578125" style="12" customWidth="1"/>
    <col min="13556" max="13804" width="9.140625" style="12"/>
    <col min="13805" max="13805" width="34.85546875" style="12" bestFit="1" customWidth="1"/>
    <col min="13806" max="13806" width="12" style="12" customWidth="1"/>
    <col min="13807" max="13807" width="12.5703125" style="12" customWidth="1"/>
    <col min="13808" max="13808" width="12.28515625" style="12" customWidth="1"/>
    <col min="13809" max="13809" width="11.28515625" style="12" customWidth="1"/>
    <col min="13810" max="13810" width="16.140625" style="12" customWidth="1"/>
    <col min="13811" max="13811" width="20.42578125" style="12" customWidth="1"/>
    <col min="13812" max="14060" width="9.140625" style="12"/>
    <col min="14061" max="14061" width="34.85546875" style="12" bestFit="1" customWidth="1"/>
    <col min="14062" max="14062" width="12" style="12" customWidth="1"/>
    <col min="14063" max="14063" width="12.5703125" style="12" customWidth="1"/>
    <col min="14064" max="14064" width="12.28515625" style="12" customWidth="1"/>
    <col min="14065" max="14065" width="11.28515625" style="12" customWidth="1"/>
    <col min="14066" max="14066" width="16.140625" style="12" customWidth="1"/>
    <col min="14067" max="14067" width="20.42578125" style="12" customWidth="1"/>
    <col min="14068" max="14316" width="9.140625" style="12"/>
    <col min="14317" max="14317" width="34.85546875" style="12" bestFit="1" customWidth="1"/>
    <col min="14318" max="14318" width="12" style="12" customWidth="1"/>
    <col min="14319" max="14319" width="12.5703125" style="12" customWidth="1"/>
    <col min="14320" max="14320" width="12.28515625" style="12" customWidth="1"/>
    <col min="14321" max="14321" width="11.28515625" style="12" customWidth="1"/>
    <col min="14322" max="14322" width="16.140625" style="12" customWidth="1"/>
    <col min="14323" max="14323" width="20.42578125" style="12" customWidth="1"/>
    <col min="14324" max="14572" width="9.140625" style="12"/>
    <col min="14573" max="14573" width="34.85546875" style="12" bestFit="1" customWidth="1"/>
    <col min="14574" max="14574" width="12" style="12" customWidth="1"/>
    <col min="14575" max="14575" width="12.5703125" style="12" customWidth="1"/>
    <col min="14576" max="14576" width="12.28515625" style="12" customWidth="1"/>
    <col min="14577" max="14577" width="11.28515625" style="12" customWidth="1"/>
    <col min="14578" max="14578" width="16.140625" style="12" customWidth="1"/>
    <col min="14579" max="14579" width="20.42578125" style="12" customWidth="1"/>
    <col min="14580" max="14828" width="9.140625" style="12"/>
    <col min="14829" max="14829" width="34.85546875" style="12" bestFit="1" customWidth="1"/>
    <col min="14830" max="14830" width="12" style="12" customWidth="1"/>
    <col min="14831" max="14831" width="12.5703125" style="12" customWidth="1"/>
    <col min="14832" max="14832" width="12.28515625" style="12" customWidth="1"/>
    <col min="14833" max="14833" width="11.28515625" style="12" customWidth="1"/>
    <col min="14834" max="14834" width="16.140625" style="12" customWidth="1"/>
    <col min="14835" max="14835" width="20.42578125" style="12" customWidth="1"/>
    <col min="14836" max="15084" width="9.140625" style="12"/>
    <col min="15085" max="15085" width="34.85546875" style="12" bestFit="1" customWidth="1"/>
    <col min="15086" max="15086" width="12" style="12" customWidth="1"/>
    <col min="15087" max="15087" width="12.5703125" style="12" customWidth="1"/>
    <col min="15088" max="15088" width="12.28515625" style="12" customWidth="1"/>
    <col min="15089" max="15089" width="11.28515625" style="12" customWidth="1"/>
    <col min="15090" max="15090" width="16.140625" style="12" customWidth="1"/>
    <col min="15091" max="15091" width="20.42578125" style="12" customWidth="1"/>
    <col min="15092" max="15340" width="9.140625" style="12"/>
    <col min="15341" max="15341" width="34.85546875" style="12" bestFit="1" customWidth="1"/>
    <col min="15342" max="15342" width="12" style="12" customWidth="1"/>
    <col min="15343" max="15343" width="12.5703125" style="12" customWidth="1"/>
    <col min="15344" max="15344" width="12.28515625" style="12" customWidth="1"/>
    <col min="15345" max="15345" width="11.28515625" style="12" customWidth="1"/>
    <col min="15346" max="15346" width="16.140625" style="12" customWidth="1"/>
    <col min="15347" max="15347" width="20.42578125" style="12" customWidth="1"/>
    <col min="15348" max="15596" width="9.140625" style="12"/>
    <col min="15597" max="15597" width="34.85546875" style="12" bestFit="1" customWidth="1"/>
    <col min="15598" max="15598" width="12" style="12" customWidth="1"/>
    <col min="15599" max="15599" width="12.5703125" style="12" customWidth="1"/>
    <col min="15600" max="15600" width="12.28515625" style="12" customWidth="1"/>
    <col min="15601" max="15601" width="11.28515625" style="12" customWidth="1"/>
    <col min="15602" max="15602" width="16.140625" style="12" customWidth="1"/>
    <col min="15603" max="15603" width="20.42578125" style="12" customWidth="1"/>
    <col min="15604" max="15852" width="9.140625" style="12"/>
    <col min="15853" max="15853" width="34.85546875" style="12" bestFit="1" customWidth="1"/>
    <col min="15854" max="15854" width="12" style="12" customWidth="1"/>
    <col min="15855" max="15855" width="12.5703125" style="12" customWidth="1"/>
    <col min="15856" max="15856" width="12.28515625" style="12" customWidth="1"/>
    <col min="15857" max="15857" width="11.28515625" style="12" customWidth="1"/>
    <col min="15858" max="15858" width="16.140625" style="12" customWidth="1"/>
    <col min="15859" max="15859" width="20.42578125" style="12" customWidth="1"/>
    <col min="15860" max="16108" width="9.140625" style="12"/>
    <col min="16109" max="16109" width="34.85546875" style="12" bestFit="1" customWidth="1"/>
    <col min="16110" max="16110" width="12" style="12" customWidth="1"/>
    <col min="16111" max="16111" width="12.5703125" style="12" customWidth="1"/>
    <col min="16112" max="16112" width="12.28515625" style="12" customWidth="1"/>
    <col min="16113" max="16113" width="11.28515625" style="12" customWidth="1"/>
    <col min="16114" max="16114" width="16.140625" style="12" customWidth="1"/>
    <col min="16115" max="16115" width="20.42578125" style="12" customWidth="1"/>
    <col min="16116" max="16384" width="9.140625" style="12"/>
  </cols>
  <sheetData>
    <row r="1" spans="1:7" ht="28.5" customHeight="1" x14ac:dyDescent="0.35">
      <c r="A1" s="141" t="s">
        <v>135</v>
      </c>
      <c r="B1" s="140"/>
      <c r="C1" s="140"/>
      <c r="D1" s="140"/>
      <c r="E1" s="140"/>
      <c r="F1" s="140"/>
      <c r="G1" s="140"/>
    </row>
    <row r="2" spans="1:7" ht="15" x14ac:dyDescent="0.3">
      <c r="A2" s="108" t="s">
        <v>137</v>
      </c>
      <c r="B2" s="108"/>
      <c r="C2" s="108"/>
      <c r="D2" s="108"/>
      <c r="E2" s="108"/>
      <c r="F2" s="108"/>
      <c r="G2" s="108"/>
    </row>
    <row r="3" spans="1:7" ht="51.75" customHeight="1" x14ac:dyDescent="0.3">
      <c r="A3" s="108"/>
      <c r="B3" s="108"/>
      <c r="C3" s="108"/>
      <c r="D3" s="108"/>
      <c r="E3" s="108"/>
      <c r="F3" s="108"/>
      <c r="G3" s="108"/>
    </row>
    <row r="4" spans="1:7" x14ac:dyDescent="0.35">
      <c r="A4" s="109" t="s">
        <v>97</v>
      </c>
      <c r="B4" s="109"/>
      <c r="C4" s="109"/>
      <c r="D4" s="109"/>
      <c r="E4" s="109"/>
      <c r="F4" s="109"/>
      <c r="G4" s="109"/>
    </row>
    <row r="5" spans="1:7" x14ac:dyDescent="0.35">
      <c r="A5" s="52" t="s">
        <v>1</v>
      </c>
    </row>
    <row r="6" spans="1:7" x14ac:dyDescent="0.3">
      <c r="A6" s="97" t="s">
        <v>129</v>
      </c>
      <c r="B6" s="97"/>
      <c r="C6" s="97"/>
      <c r="D6" s="97"/>
      <c r="E6" s="97"/>
      <c r="F6" s="97"/>
      <c r="G6" s="97"/>
    </row>
    <row r="7" spans="1:7" ht="37.5" customHeight="1" x14ac:dyDescent="0.3">
      <c r="A7" s="98" t="s">
        <v>2</v>
      </c>
      <c r="B7" s="98" t="s">
        <v>3</v>
      </c>
      <c r="C7" s="98"/>
      <c r="D7" s="99" t="s">
        <v>4</v>
      </c>
      <c r="E7" s="99" t="s">
        <v>5</v>
      </c>
      <c r="F7" s="98" t="s">
        <v>6</v>
      </c>
      <c r="G7" s="35" t="s">
        <v>7</v>
      </c>
    </row>
    <row r="8" spans="1:7" x14ac:dyDescent="0.3">
      <c r="A8" s="98"/>
      <c r="B8" s="35" t="s">
        <v>8</v>
      </c>
      <c r="C8" s="35" t="s">
        <v>9</v>
      </c>
      <c r="D8" s="100"/>
      <c r="E8" s="100"/>
      <c r="F8" s="98"/>
      <c r="G8" s="35" t="s">
        <v>10</v>
      </c>
    </row>
    <row r="9" spans="1:7" x14ac:dyDescent="0.3">
      <c r="A9" s="41" t="s">
        <v>26</v>
      </c>
      <c r="B9" s="27">
        <v>50</v>
      </c>
      <c r="C9" s="27">
        <f>B9*100%</f>
        <v>50</v>
      </c>
      <c r="D9" s="27">
        <f>12%*C9</f>
        <v>6</v>
      </c>
      <c r="E9" s="27">
        <f>6.2%*C9</f>
        <v>3.1</v>
      </c>
      <c r="F9" s="27">
        <f>62%*C9</f>
        <v>31</v>
      </c>
      <c r="G9" s="27">
        <f>4*(D9+F9)+9*E9</f>
        <v>175.9</v>
      </c>
    </row>
    <row r="10" spans="1:7" x14ac:dyDescent="0.3">
      <c r="A10" s="4" t="s">
        <v>19</v>
      </c>
      <c r="B10" s="27">
        <v>5</v>
      </c>
      <c r="C10" s="27">
        <f>100%*B10</f>
        <v>5</v>
      </c>
      <c r="D10" s="27"/>
      <c r="E10" s="27">
        <f>72.57%*C10</f>
        <v>3.6284999999999994</v>
      </c>
      <c r="F10" s="27"/>
      <c r="G10" s="27">
        <f>4*(D10+F10)+9*E10</f>
        <v>32.656499999999994</v>
      </c>
    </row>
    <row r="11" spans="1:7" x14ac:dyDescent="0.3">
      <c r="A11" s="13" t="s">
        <v>39</v>
      </c>
      <c r="B11" s="25">
        <v>40</v>
      </c>
      <c r="C11" s="25">
        <f t="shared" ref="C11" si="0">100%*B11</f>
        <v>40</v>
      </c>
      <c r="D11" s="25">
        <f>6.97%*C11</f>
        <v>2.7879999999999998</v>
      </c>
      <c r="E11" s="25">
        <f>8.13%*C11</f>
        <v>3.2520000000000007</v>
      </c>
      <c r="F11" s="25">
        <f>9.8%*B11</f>
        <v>3.92</v>
      </c>
      <c r="G11" s="25">
        <f t="shared" ref="G11" si="1">4*(D11+F11)+9*E11</f>
        <v>56.100000000000009</v>
      </c>
    </row>
    <row r="12" spans="1:7" x14ac:dyDescent="0.3">
      <c r="A12" s="41" t="s">
        <v>22</v>
      </c>
      <c r="B12" s="27">
        <v>5</v>
      </c>
      <c r="C12" s="27">
        <f>100%*B12</f>
        <v>5</v>
      </c>
      <c r="D12" s="27"/>
      <c r="E12" s="27"/>
      <c r="F12" s="27">
        <f>99%*C12</f>
        <v>4.95</v>
      </c>
      <c r="G12" s="27">
        <f>4*(D12+F12)+9*E12</f>
        <v>19.8</v>
      </c>
    </row>
    <row r="13" spans="1:7" x14ac:dyDescent="0.3">
      <c r="A13" s="41" t="s">
        <v>15</v>
      </c>
      <c r="B13" s="27">
        <v>1</v>
      </c>
      <c r="C13" s="27">
        <f>100%*B13</f>
        <v>1</v>
      </c>
      <c r="D13" s="27"/>
      <c r="E13" s="27"/>
      <c r="F13" s="27"/>
      <c r="G13" s="27">
        <f>4*(D13+F13)+9*E13</f>
        <v>0</v>
      </c>
    </row>
    <row r="14" spans="1:7" x14ac:dyDescent="0.3">
      <c r="A14" s="35" t="s">
        <v>16</v>
      </c>
      <c r="B14" s="93">
        <v>250</v>
      </c>
      <c r="C14" s="94"/>
      <c r="D14" s="28">
        <f>SUM(D9:D13)</f>
        <v>8.7880000000000003</v>
      </c>
      <c r="E14" s="28">
        <f>SUM(E9:E13)</f>
        <v>9.9804999999999993</v>
      </c>
      <c r="F14" s="28">
        <f>SUM(F9:F13)</f>
        <v>39.870000000000005</v>
      </c>
      <c r="G14" s="28">
        <f>SUM(G9:G13)</f>
        <v>284.45650000000001</v>
      </c>
    </row>
    <row r="19" spans="1:7" ht="24.75" customHeight="1" x14ac:dyDescent="0.3">
      <c r="A19" s="110" t="s">
        <v>91</v>
      </c>
      <c r="B19" s="110"/>
      <c r="C19" s="110"/>
      <c r="D19" s="110"/>
      <c r="E19" s="110"/>
      <c r="F19" s="110"/>
      <c r="G19" s="110"/>
    </row>
    <row r="20" spans="1:7" ht="36" x14ac:dyDescent="0.3">
      <c r="A20" s="111" t="s">
        <v>2</v>
      </c>
      <c r="B20" s="111" t="s">
        <v>3</v>
      </c>
      <c r="C20" s="111"/>
      <c r="D20" s="113" t="s">
        <v>4</v>
      </c>
      <c r="E20" s="113" t="s">
        <v>5</v>
      </c>
      <c r="F20" s="111" t="s">
        <v>6</v>
      </c>
      <c r="G20" s="34" t="s">
        <v>7</v>
      </c>
    </row>
    <row r="21" spans="1:7" x14ac:dyDescent="0.3">
      <c r="A21" s="111"/>
      <c r="B21" s="34" t="s">
        <v>8</v>
      </c>
      <c r="C21" s="34" t="s">
        <v>9</v>
      </c>
      <c r="D21" s="114"/>
      <c r="E21" s="114"/>
      <c r="F21" s="111"/>
      <c r="G21" s="34" t="s">
        <v>10</v>
      </c>
    </row>
    <row r="22" spans="1:7" x14ac:dyDescent="0.3">
      <c r="A22" s="54" t="s">
        <v>29</v>
      </c>
      <c r="B22" s="25">
        <v>1</v>
      </c>
      <c r="C22" s="25">
        <f>100%*B22</f>
        <v>1</v>
      </c>
      <c r="D22" s="25"/>
      <c r="E22" s="25"/>
      <c r="F22" s="25"/>
      <c r="G22" s="25">
        <f>4*(D22+F22)+9*E22</f>
        <v>0</v>
      </c>
    </row>
    <row r="23" spans="1:7" x14ac:dyDescent="0.3">
      <c r="A23" s="13" t="s">
        <v>22</v>
      </c>
      <c r="B23" s="25">
        <v>20</v>
      </c>
      <c r="C23" s="25">
        <f>100%*B23</f>
        <v>20</v>
      </c>
      <c r="D23" s="25"/>
      <c r="E23" s="25"/>
      <c r="F23" s="25">
        <f>99%*C23</f>
        <v>19.8</v>
      </c>
      <c r="G23" s="25">
        <f>4*(D23+F23)+9*E23</f>
        <v>79.2</v>
      </c>
    </row>
    <row r="24" spans="1:7" x14ac:dyDescent="0.3">
      <c r="A24" s="34" t="s">
        <v>16</v>
      </c>
      <c r="B24" s="115">
        <v>250</v>
      </c>
      <c r="C24" s="116"/>
      <c r="D24" s="26">
        <f>SUM(D22:D23)</f>
        <v>0</v>
      </c>
      <c r="E24" s="26">
        <f>SUM(E22:E23)</f>
        <v>0</v>
      </c>
      <c r="F24" s="26">
        <f>SUM(F22:F23)</f>
        <v>19.8</v>
      </c>
      <c r="G24" s="26">
        <f>SUM(G22:G23)</f>
        <v>79.2</v>
      </c>
    </row>
    <row r="25" spans="1:7" x14ac:dyDescent="0.3">
      <c r="A25" s="13" t="s">
        <v>28</v>
      </c>
      <c r="B25" s="25">
        <v>10</v>
      </c>
      <c r="C25" s="25">
        <f>100%*B25</f>
        <v>10</v>
      </c>
      <c r="D25" s="25">
        <f>0.5%*C25</f>
        <v>0.05</v>
      </c>
      <c r="E25" s="25">
        <f>82.5%*C25</f>
        <v>8.25</v>
      </c>
      <c r="F25" s="25">
        <f>0.8%*C25</f>
        <v>0.08</v>
      </c>
      <c r="G25" s="25">
        <f>4*(D25+F25)+9*E25</f>
        <v>74.77</v>
      </c>
    </row>
    <row r="27" spans="1:7" s="15" customFormat="1" x14ac:dyDescent="0.35">
      <c r="A27" s="24"/>
      <c r="B27" s="24"/>
      <c r="C27" s="24"/>
      <c r="D27" s="24"/>
      <c r="E27" s="24"/>
      <c r="F27" s="24"/>
      <c r="G27" s="24"/>
    </row>
    <row r="29" spans="1:7" x14ac:dyDescent="0.3">
      <c r="A29" s="58" t="s">
        <v>98</v>
      </c>
      <c r="B29" s="58"/>
      <c r="C29" s="58"/>
      <c r="D29" s="59"/>
      <c r="E29" s="59"/>
      <c r="F29" s="58"/>
      <c r="G29" s="58"/>
    </row>
    <row r="30" spans="1:7" ht="36" x14ac:dyDescent="0.3">
      <c r="A30" s="111" t="s">
        <v>2</v>
      </c>
      <c r="B30" s="111" t="s">
        <v>3</v>
      </c>
      <c r="C30" s="111"/>
      <c r="D30" s="113" t="s">
        <v>4</v>
      </c>
      <c r="E30" s="113" t="s">
        <v>5</v>
      </c>
      <c r="F30" s="111" t="s">
        <v>6</v>
      </c>
      <c r="G30" s="34" t="s">
        <v>7</v>
      </c>
    </row>
    <row r="31" spans="1:7" x14ac:dyDescent="0.3">
      <c r="A31" s="111"/>
      <c r="B31" s="34" t="s">
        <v>8</v>
      </c>
      <c r="C31" s="34" t="s">
        <v>9</v>
      </c>
      <c r="D31" s="114"/>
      <c r="E31" s="114"/>
      <c r="F31" s="111"/>
      <c r="G31" s="34" t="s">
        <v>10</v>
      </c>
    </row>
    <row r="32" spans="1:7" x14ac:dyDescent="0.3">
      <c r="A32" s="54" t="s">
        <v>20</v>
      </c>
      <c r="B32" s="25">
        <v>1</v>
      </c>
      <c r="C32" s="25">
        <f>B32*48</f>
        <v>48</v>
      </c>
      <c r="D32" s="25">
        <f>12.7%*C32</f>
        <v>6.0960000000000001</v>
      </c>
      <c r="E32" s="25">
        <f>11.5%*C32</f>
        <v>5.5200000000000005</v>
      </c>
      <c r="F32" s="25"/>
      <c r="G32" s="25">
        <f>4*(D32+F32)+9*E32</f>
        <v>74.064000000000007</v>
      </c>
    </row>
    <row r="33" spans="1:7" x14ac:dyDescent="0.3">
      <c r="A33" s="54" t="s">
        <v>15</v>
      </c>
      <c r="B33" s="25">
        <v>0.5</v>
      </c>
      <c r="C33" s="25">
        <f>100%*B33</f>
        <v>0.5</v>
      </c>
      <c r="D33" s="25"/>
      <c r="E33" s="25"/>
      <c r="F33" s="25"/>
      <c r="G33" s="25">
        <f>4*(D33+F33)+9*E33</f>
        <v>0</v>
      </c>
    </row>
    <row r="34" spans="1:7" x14ac:dyDescent="0.3">
      <c r="A34" s="57" t="s">
        <v>13</v>
      </c>
      <c r="B34" s="26">
        <v>300</v>
      </c>
      <c r="C34" s="26">
        <f>B34*100%</f>
        <v>300</v>
      </c>
      <c r="D34" s="26">
        <f>C34*7.9%</f>
        <v>23.7</v>
      </c>
      <c r="E34" s="26">
        <f>C34*1%</f>
        <v>3</v>
      </c>
      <c r="F34" s="26">
        <f>C34*49.6%</f>
        <v>148.80000000000001</v>
      </c>
      <c r="G34" s="26">
        <f>4*(D34+F34)+9*E34</f>
        <v>717</v>
      </c>
    </row>
    <row r="35" spans="1:7" x14ac:dyDescent="0.3">
      <c r="A35" s="34" t="s">
        <v>34</v>
      </c>
      <c r="B35" s="117">
        <f>B14+B24+B25+B34</f>
        <v>810</v>
      </c>
      <c r="C35" s="116"/>
      <c r="D35" s="26">
        <f>D14+D24+D25+D32+D33+D34</f>
        <v>38.634</v>
      </c>
      <c r="E35" s="26">
        <f>E14+E24+E25+E32+E33+E34</f>
        <v>26.750499999999999</v>
      </c>
      <c r="F35" s="26">
        <f>F14+F24+F25+F32+F33+F34</f>
        <v>208.55</v>
      </c>
      <c r="G35" s="26">
        <f>G14+G24+G25+G32+G33+G34</f>
        <v>1229.4904999999999</v>
      </c>
    </row>
    <row r="36" spans="1:7" x14ac:dyDescent="0.3">
      <c r="A36" s="60"/>
      <c r="B36" s="30"/>
      <c r="C36" s="30"/>
      <c r="D36" s="30"/>
      <c r="E36" s="30"/>
      <c r="F36" s="30"/>
      <c r="G36" s="30"/>
    </row>
    <row r="37" spans="1:7" x14ac:dyDescent="0.35">
      <c r="A37" s="52" t="s">
        <v>37</v>
      </c>
    </row>
    <row r="38" spans="1:7" x14ac:dyDescent="0.3">
      <c r="A38" s="58" t="s">
        <v>103</v>
      </c>
      <c r="B38" s="58"/>
      <c r="C38" s="58"/>
      <c r="D38" s="58"/>
      <c r="E38" s="58"/>
      <c r="F38" s="58"/>
      <c r="G38" s="58"/>
    </row>
    <row r="39" spans="1:7" ht="36" x14ac:dyDescent="0.3">
      <c r="A39" s="111" t="s">
        <v>2</v>
      </c>
      <c r="B39" s="111" t="s">
        <v>3</v>
      </c>
      <c r="C39" s="111"/>
      <c r="D39" s="113" t="s">
        <v>4</v>
      </c>
      <c r="E39" s="113" t="s">
        <v>5</v>
      </c>
      <c r="F39" s="111" t="s">
        <v>6</v>
      </c>
      <c r="G39" s="34" t="s">
        <v>7</v>
      </c>
    </row>
    <row r="40" spans="1:7" x14ac:dyDescent="0.3">
      <c r="A40" s="111"/>
      <c r="B40" s="34" t="s">
        <v>8</v>
      </c>
      <c r="C40" s="34" t="s">
        <v>9</v>
      </c>
      <c r="D40" s="114"/>
      <c r="E40" s="114"/>
      <c r="F40" s="111"/>
      <c r="G40" s="34" t="s">
        <v>10</v>
      </c>
    </row>
    <row r="41" spans="1:7" x14ac:dyDescent="0.3">
      <c r="A41" s="21" t="s">
        <v>56</v>
      </c>
      <c r="B41" s="25">
        <v>50</v>
      </c>
      <c r="C41" s="25">
        <f>B41*80%</f>
        <v>40</v>
      </c>
      <c r="D41" s="25">
        <f>C41*1.5%</f>
        <v>0.6</v>
      </c>
      <c r="E41" s="25"/>
      <c r="F41" s="25">
        <f>C41*3%</f>
        <v>1.2</v>
      </c>
      <c r="G41" s="25">
        <f>4*(D41+F41)+9*E41</f>
        <v>7.1999999999999993</v>
      </c>
    </row>
    <row r="42" spans="1:7" x14ac:dyDescent="0.3">
      <c r="A42" s="21" t="s">
        <v>57</v>
      </c>
      <c r="B42" s="25">
        <v>80</v>
      </c>
      <c r="C42" s="25">
        <f>B42*80%</f>
        <v>64</v>
      </c>
      <c r="D42" s="25">
        <f>C42*2.82%</f>
        <v>1.8048</v>
      </c>
      <c r="E42" s="25"/>
      <c r="F42" s="25">
        <f>C42*1.88%</f>
        <v>1.2031999999999998</v>
      </c>
      <c r="G42" s="25">
        <f>4*(D42+F42)+9*E42</f>
        <v>12.032</v>
      </c>
    </row>
    <row r="43" spans="1:7" x14ac:dyDescent="0.3">
      <c r="A43" s="13" t="s">
        <v>17</v>
      </c>
      <c r="B43" s="25">
        <v>10</v>
      </c>
      <c r="C43" s="25">
        <f>B43*100%</f>
        <v>10</v>
      </c>
      <c r="D43" s="25">
        <f>C43*10%</f>
        <v>1</v>
      </c>
      <c r="E43" s="25">
        <f>C43*1.3%</f>
        <v>0.13</v>
      </c>
      <c r="F43" s="25">
        <f>C43*69%</f>
        <v>6.8999999999999995</v>
      </c>
      <c r="G43" s="25">
        <f t="shared" ref="G43:G48" si="2">4*(D43+F43)+9*E43</f>
        <v>32.769999999999996</v>
      </c>
    </row>
    <row r="44" spans="1:7" x14ac:dyDescent="0.3">
      <c r="A44" s="13" t="s">
        <v>46</v>
      </c>
      <c r="B44" s="25">
        <v>70</v>
      </c>
      <c r="C44" s="25">
        <f>72%*B44</f>
        <v>50.4</v>
      </c>
      <c r="D44" s="25">
        <f>2.1%*C44</f>
        <v>1.0584</v>
      </c>
      <c r="E44" s="25">
        <f>0.4%*C44</f>
        <v>0.2016</v>
      </c>
      <c r="F44" s="25">
        <f>15.6%*C44</f>
        <v>7.8624000000000001</v>
      </c>
      <c r="G44" s="25">
        <f t="shared" si="2"/>
        <v>37.497599999999998</v>
      </c>
    </row>
    <row r="45" spans="1:7" x14ac:dyDescent="0.3">
      <c r="A45" s="13" t="s">
        <v>42</v>
      </c>
      <c r="B45" s="25">
        <v>12</v>
      </c>
      <c r="C45" s="25">
        <f>85%*B45</f>
        <v>10.199999999999999</v>
      </c>
      <c r="D45" s="25"/>
      <c r="E45" s="25"/>
      <c r="F45" s="25"/>
      <c r="G45" s="25">
        <f t="shared" si="2"/>
        <v>0</v>
      </c>
    </row>
    <row r="46" spans="1:7" x14ac:dyDescent="0.3">
      <c r="A46" s="13" t="s">
        <v>43</v>
      </c>
      <c r="B46" s="25">
        <v>6</v>
      </c>
      <c r="C46" s="25">
        <f>90%*B46</f>
        <v>5.4</v>
      </c>
      <c r="D46" s="25">
        <f>1.58%*C46</f>
        <v>8.5320000000000021E-2</v>
      </c>
      <c r="E46" s="25"/>
      <c r="F46" s="25">
        <f>9.5%*C46</f>
        <v>0.51300000000000001</v>
      </c>
      <c r="G46" s="25">
        <f t="shared" si="2"/>
        <v>2.3932800000000003</v>
      </c>
    </row>
    <row r="47" spans="1:7" x14ac:dyDescent="0.3">
      <c r="A47" s="13" t="s">
        <v>20</v>
      </c>
      <c r="B47" s="25">
        <v>0.25</v>
      </c>
      <c r="C47" s="25">
        <f>B47*48</f>
        <v>12</v>
      </c>
      <c r="D47" s="25">
        <f>12.7%*C47</f>
        <v>1.524</v>
      </c>
      <c r="E47" s="25">
        <f>11.5%*C47</f>
        <v>1.3800000000000001</v>
      </c>
      <c r="F47" s="25"/>
      <c r="G47" s="25">
        <f t="shared" si="2"/>
        <v>18.516000000000002</v>
      </c>
    </row>
    <row r="48" spans="1:7" x14ac:dyDescent="0.3">
      <c r="A48" s="13" t="s">
        <v>24</v>
      </c>
      <c r="B48" s="25">
        <v>20</v>
      </c>
      <c r="C48" s="25">
        <f t="shared" ref="C48" si="3">100%*B48</f>
        <v>20</v>
      </c>
      <c r="D48" s="25">
        <f>2.6%*C48</f>
        <v>0.52</v>
      </c>
      <c r="E48" s="25">
        <f>10%*C48</f>
        <v>2</v>
      </c>
      <c r="F48" s="25">
        <f>3.8%*C48</f>
        <v>0.76</v>
      </c>
      <c r="G48" s="25">
        <f t="shared" si="2"/>
        <v>23.12</v>
      </c>
    </row>
    <row r="49" spans="1:7" x14ac:dyDescent="0.3">
      <c r="A49" s="54" t="s">
        <v>14</v>
      </c>
      <c r="B49" s="25">
        <v>10</v>
      </c>
      <c r="C49" s="25">
        <f>100%*B49</f>
        <v>10</v>
      </c>
      <c r="D49" s="25"/>
      <c r="E49" s="25">
        <f>99.9%*C49</f>
        <v>9.990000000000002</v>
      </c>
      <c r="F49" s="25"/>
      <c r="G49" s="25">
        <f>4*(D49+F49)+9*E49</f>
        <v>89.910000000000025</v>
      </c>
    </row>
    <row r="50" spans="1:7" x14ac:dyDescent="0.3">
      <c r="A50" s="34" t="s">
        <v>16</v>
      </c>
      <c r="B50" s="115">
        <v>450</v>
      </c>
      <c r="C50" s="116"/>
      <c r="D50" s="26">
        <f t="shared" ref="D50:F50" si="4">SUM(D41:D49)</f>
        <v>6.5925200000000004</v>
      </c>
      <c r="E50" s="26">
        <f t="shared" si="4"/>
        <v>13.701600000000003</v>
      </c>
      <c r="F50" s="26">
        <f t="shared" si="4"/>
        <v>18.438600000000005</v>
      </c>
      <c r="G50" s="26">
        <f>SUM(G41:G49)</f>
        <v>223.43888000000001</v>
      </c>
    </row>
    <row r="52" spans="1:7" ht="15.75" x14ac:dyDescent="0.3">
      <c r="A52" s="16"/>
      <c r="B52" s="16"/>
      <c r="C52" s="16"/>
      <c r="D52" s="16"/>
      <c r="E52" s="16"/>
      <c r="F52" s="16"/>
      <c r="G52" s="16"/>
    </row>
    <row r="53" spans="1:7" x14ac:dyDescent="0.3">
      <c r="A53" s="110" t="s">
        <v>99</v>
      </c>
      <c r="B53" s="110"/>
      <c r="C53" s="110"/>
      <c r="D53" s="110"/>
      <c r="E53" s="110"/>
      <c r="F53" s="110"/>
      <c r="G53" s="110"/>
    </row>
    <row r="54" spans="1:7" ht="36" x14ac:dyDescent="0.3">
      <c r="A54" s="111" t="s">
        <v>2</v>
      </c>
      <c r="B54" s="111" t="s">
        <v>3</v>
      </c>
      <c r="C54" s="111"/>
      <c r="D54" s="113" t="s">
        <v>4</v>
      </c>
      <c r="E54" s="113" t="s">
        <v>5</v>
      </c>
      <c r="F54" s="111" t="s">
        <v>6</v>
      </c>
      <c r="G54" s="34" t="s">
        <v>7</v>
      </c>
    </row>
    <row r="55" spans="1:7" x14ac:dyDescent="0.3">
      <c r="A55" s="111"/>
      <c r="B55" s="34" t="s">
        <v>8</v>
      </c>
      <c r="C55" s="34" t="s">
        <v>9</v>
      </c>
      <c r="D55" s="114"/>
      <c r="E55" s="114"/>
      <c r="F55" s="111"/>
      <c r="G55" s="34" t="s">
        <v>10</v>
      </c>
    </row>
    <row r="56" spans="1:7" s="16" customFormat="1" x14ac:dyDescent="0.25">
      <c r="A56" s="13" t="s">
        <v>46</v>
      </c>
      <c r="B56" s="25">
        <v>150</v>
      </c>
      <c r="C56" s="25">
        <f>72%*B56</f>
        <v>108</v>
      </c>
      <c r="D56" s="25">
        <f>2.1%*C56</f>
        <v>2.2680000000000002</v>
      </c>
      <c r="E56" s="25">
        <f>0.4%*C56</f>
        <v>0.432</v>
      </c>
      <c r="F56" s="25">
        <f>15.6%*C56</f>
        <v>16.847999999999999</v>
      </c>
      <c r="G56" s="25">
        <f t="shared" ref="G56:G61" si="5">4*(D56+F56)+9*E56</f>
        <v>80.352000000000004</v>
      </c>
    </row>
    <row r="57" spans="1:7" x14ac:dyDescent="0.3">
      <c r="A57" s="13" t="s">
        <v>53</v>
      </c>
      <c r="B57" s="25">
        <v>50</v>
      </c>
      <c r="C57" s="25">
        <f>90%*B57</f>
        <v>45</v>
      </c>
      <c r="D57" s="25">
        <f>0.8%*C57</f>
        <v>0.36</v>
      </c>
      <c r="E57" s="25"/>
      <c r="F57" s="25">
        <f>2.6%*C57</f>
        <v>1.1700000000000002</v>
      </c>
      <c r="G57" s="25">
        <f t="shared" si="5"/>
        <v>6.120000000000001</v>
      </c>
    </row>
    <row r="58" spans="1:7" x14ac:dyDescent="0.3">
      <c r="A58" s="13" t="s">
        <v>45</v>
      </c>
      <c r="B58" s="25">
        <v>64</v>
      </c>
      <c r="C58" s="25">
        <f>80%*B58</f>
        <v>51.2</v>
      </c>
      <c r="D58" s="25">
        <f>1.77%*C58</f>
        <v>0.90624000000000005</v>
      </c>
      <c r="E58" s="25"/>
      <c r="F58" s="25">
        <f>11%*C58</f>
        <v>5.6320000000000006</v>
      </c>
      <c r="G58" s="25">
        <f t="shared" si="5"/>
        <v>26.152960000000004</v>
      </c>
    </row>
    <row r="59" spans="1:7" x14ac:dyDescent="0.3">
      <c r="A59" s="13" t="s">
        <v>14</v>
      </c>
      <c r="B59" s="25">
        <v>7</v>
      </c>
      <c r="C59" s="25">
        <f>100%*B59</f>
        <v>7</v>
      </c>
      <c r="D59" s="25"/>
      <c r="E59" s="25">
        <f>99.9%*C59</f>
        <v>6.9930000000000003</v>
      </c>
      <c r="F59" s="25"/>
      <c r="G59" s="25">
        <f t="shared" si="5"/>
        <v>62.937000000000005</v>
      </c>
    </row>
    <row r="60" spans="1:7" x14ac:dyDescent="0.3">
      <c r="A60" s="13" t="s">
        <v>42</v>
      </c>
      <c r="B60" s="25">
        <v>14</v>
      </c>
      <c r="C60" s="25">
        <f>85%*B60</f>
        <v>11.9</v>
      </c>
      <c r="D60" s="25"/>
      <c r="E60" s="25"/>
      <c r="F60" s="25"/>
      <c r="G60" s="25">
        <f t="shared" si="5"/>
        <v>0</v>
      </c>
    </row>
    <row r="61" spans="1:7" x14ac:dyDescent="0.3">
      <c r="A61" s="54" t="s">
        <v>15</v>
      </c>
      <c r="B61" s="25">
        <v>1</v>
      </c>
      <c r="C61" s="25">
        <f>100%*B61</f>
        <v>1</v>
      </c>
      <c r="D61" s="25"/>
      <c r="E61" s="25"/>
      <c r="F61" s="25"/>
      <c r="G61" s="25">
        <f t="shared" si="5"/>
        <v>0</v>
      </c>
    </row>
    <row r="62" spans="1:7" x14ac:dyDescent="0.3">
      <c r="A62" s="34" t="s">
        <v>16</v>
      </c>
      <c r="B62" s="115">
        <v>200</v>
      </c>
      <c r="C62" s="116"/>
      <c r="D62" s="26">
        <f>SUM(D56:D61)</f>
        <v>3.53424</v>
      </c>
      <c r="E62" s="26">
        <f>SUM(E56:E61)</f>
        <v>7.4250000000000007</v>
      </c>
      <c r="F62" s="26">
        <f>SUM(F56:F61)</f>
        <v>23.650000000000002</v>
      </c>
      <c r="G62" s="26">
        <f>SUM(G56:G61)</f>
        <v>175.56196000000003</v>
      </c>
    </row>
    <row r="64" spans="1:7" x14ac:dyDescent="0.3">
      <c r="A64" s="110" t="s">
        <v>100</v>
      </c>
      <c r="B64" s="110"/>
      <c r="C64" s="110"/>
      <c r="D64" s="110"/>
      <c r="E64" s="110"/>
      <c r="F64" s="110"/>
      <c r="G64" s="110"/>
    </row>
    <row r="65" spans="1:7" ht="36" x14ac:dyDescent="0.3">
      <c r="A65" s="111" t="s">
        <v>2</v>
      </c>
      <c r="B65" s="111" t="s">
        <v>3</v>
      </c>
      <c r="C65" s="111"/>
      <c r="D65" s="113" t="s">
        <v>4</v>
      </c>
      <c r="E65" s="113" t="s">
        <v>5</v>
      </c>
      <c r="F65" s="111" t="s">
        <v>6</v>
      </c>
      <c r="G65" s="34" t="s">
        <v>7</v>
      </c>
    </row>
    <row r="66" spans="1:7" x14ac:dyDescent="0.3">
      <c r="A66" s="111"/>
      <c r="B66" s="34" t="s">
        <v>8</v>
      </c>
      <c r="C66" s="34" t="s">
        <v>9</v>
      </c>
      <c r="D66" s="114"/>
      <c r="E66" s="114"/>
      <c r="F66" s="111"/>
      <c r="G66" s="34" t="s">
        <v>10</v>
      </c>
    </row>
    <row r="67" spans="1:7" x14ac:dyDescent="0.3">
      <c r="A67" s="13" t="s">
        <v>30</v>
      </c>
      <c r="B67" s="25">
        <v>200</v>
      </c>
      <c r="C67" s="25">
        <f>B67*75%</f>
        <v>150</v>
      </c>
      <c r="D67" s="25">
        <f>18.6%*C67</f>
        <v>27.900000000000006</v>
      </c>
      <c r="E67" s="25">
        <f>17.3%*C67</f>
        <v>25.950000000000003</v>
      </c>
      <c r="F67" s="25"/>
      <c r="G67" s="25">
        <f>4*(D67+F67)+9*E67</f>
        <v>345.15000000000003</v>
      </c>
    </row>
    <row r="68" spans="1:7" x14ac:dyDescent="0.3">
      <c r="A68" s="54" t="s">
        <v>45</v>
      </c>
      <c r="B68" s="25">
        <v>60</v>
      </c>
      <c r="C68" s="25">
        <f>80%*B68</f>
        <v>48</v>
      </c>
      <c r="D68" s="25">
        <f>1.77%*C68</f>
        <v>0.84960000000000002</v>
      </c>
      <c r="E68" s="25"/>
      <c r="F68" s="25">
        <f>11%*C68</f>
        <v>5.28</v>
      </c>
      <c r="G68" s="25">
        <f t="shared" ref="G68:G74" si="6">4*(D68+F68)+9*E68</f>
        <v>24.5184</v>
      </c>
    </row>
    <row r="69" spans="1:7" x14ac:dyDescent="0.3">
      <c r="A69" s="54" t="s">
        <v>43</v>
      </c>
      <c r="B69" s="25">
        <v>25</v>
      </c>
      <c r="C69" s="25">
        <f>90%*B69</f>
        <v>22.5</v>
      </c>
      <c r="D69" s="25">
        <f>1.58%*C69</f>
        <v>0.35550000000000004</v>
      </c>
      <c r="E69" s="25"/>
      <c r="F69" s="25">
        <f>9.5%*C69</f>
        <v>2.1375000000000002</v>
      </c>
      <c r="G69" s="25">
        <f t="shared" si="6"/>
        <v>9.9720000000000013</v>
      </c>
    </row>
    <row r="70" spans="1:7" x14ac:dyDescent="0.3">
      <c r="A70" s="54" t="s">
        <v>65</v>
      </c>
      <c r="B70" s="25">
        <v>5</v>
      </c>
      <c r="C70" s="25">
        <f>100%*B70</f>
        <v>5</v>
      </c>
      <c r="D70" s="25"/>
      <c r="E70" s="25"/>
      <c r="F70" s="25">
        <f>17.7%*C70</f>
        <v>0.88500000000000001</v>
      </c>
      <c r="G70" s="25">
        <f t="shared" si="6"/>
        <v>3.54</v>
      </c>
    </row>
    <row r="71" spans="1:7" x14ac:dyDescent="0.3">
      <c r="A71" s="54" t="s">
        <v>14</v>
      </c>
      <c r="B71" s="25">
        <v>5</v>
      </c>
      <c r="C71" s="25">
        <f>100%*B71</f>
        <v>5</v>
      </c>
      <c r="D71" s="25"/>
      <c r="E71" s="25">
        <f>99.9%*C71</f>
        <v>4.995000000000001</v>
      </c>
      <c r="F71" s="25"/>
      <c r="G71" s="25">
        <f t="shared" si="6"/>
        <v>44.955000000000013</v>
      </c>
    </row>
    <row r="72" spans="1:7" x14ac:dyDescent="0.3">
      <c r="A72" s="54" t="s">
        <v>42</v>
      </c>
      <c r="B72" s="25">
        <v>18</v>
      </c>
      <c r="C72" s="25">
        <f>85%*B72</f>
        <v>15.299999999999999</v>
      </c>
      <c r="D72" s="25"/>
      <c r="E72" s="25"/>
      <c r="F72" s="25"/>
      <c r="G72" s="25">
        <f t="shared" si="6"/>
        <v>0</v>
      </c>
    </row>
    <row r="73" spans="1:7" x14ac:dyDescent="0.3">
      <c r="A73" s="54" t="s">
        <v>44</v>
      </c>
      <c r="B73" s="25">
        <v>1</v>
      </c>
      <c r="C73" s="25">
        <f>92%*B73</f>
        <v>0.92</v>
      </c>
      <c r="D73" s="25"/>
      <c r="E73" s="25"/>
      <c r="F73" s="25"/>
      <c r="G73" s="25">
        <f t="shared" si="6"/>
        <v>0</v>
      </c>
    </row>
    <row r="74" spans="1:7" x14ac:dyDescent="0.3">
      <c r="A74" s="54" t="s">
        <v>15</v>
      </c>
      <c r="B74" s="25">
        <v>2</v>
      </c>
      <c r="C74" s="25">
        <f>100%*B74</f>
        <v>2</v>
      </c>
      <c r="D74" s="25"/>
      <c r="E74" s="25"/>
      <c r="F74" s="25"/>
      <c r="G74" s="25">
        <f t="shared" si="6"/>
        <v>0</v>
      </c>
    </row>
    <row r="75" spans="1:7" x14ac:dyDescent="0.3">
      <c r="A75" s="34" t="s">
        <v>16</v>
      </c>
      <c r="B75" s="115">
        <v>300</v>
      </c>
      <c r="C75" s="116"/>
      <c r="D75" s="26">
        <f>SUM(D67:D74)</f>
        <v>29.105100000000004</v>
      </c>
      <c r="E75" s="26">
        <f>SUM(E67:E74)</f>
        <v>30.945000000000004</v>
      </c>
      <c r="F75" s="26">
        <f>SUM(F67:F74)</f>
        <v>8.3025000000000002</v>
      </c>
      <c r="G75" s="26">
        <f>SUM(G67:G74)</f>
        <v>428.1354</v>
      </c>
    </row>
    <row r="77" spans="1:7" x14ac:dyDescent="0.3">
      <c r="A77" s="58" t="s">
        <v>101</v>
      </c>
      <c r="B77" s="58"/>
      <c r="C77" s="58"/>
      <c r="D77" s="58"/>
      <c r="E77" s="58"/>
      <c r="F77" s="58"/>
      <c r="G77" s="58"/>
    </row>
    <row r="78" spans="1:7" ht="36" x14ac:dyDescent="0.3">
      <c r="A78" s="111" t="s">
        <v>2</v>
      </c>
      <c r="B78" s="111" t="s">
        <v>3</v>
      </c>
      <c r="C78" s="111"/>
      <c r="D78" s="113" t="s">
        <v>4</v>
      </c>
      <c r="E78" s="113" t="s">
        <v>5</v>
      </c>
      <c r="F78" s="111" t="s">
        <v>6</v>
      </c>
      <c r="G78" s="34" t="s">
        <v>7</v>
      </c>
    </row>
    <row r="79" spans="1:7" x14ac:dyDescent="0.3">
      <c r="A79" s="111"/>
      <c r="B79" s="34" t="s">
        <v>8</v>
      </c>
      <c r="C79" s="34" t="s">
        <v>9</v>
      </c>
      <c r="D79" s="114"/>
      <c r="E79" s="114"/>
      <c r="F79" s="111"/>
      <c r="G79" s="34" t="s">
        <v>10</v>
      </c>
    </row>
    <row r="80" spans="1:7" x14ac:dyDescent="0.3">
      <c r="A80" s="54" t="s">
        <v>46</v>
      </c>
      <c r="B80" s="25">
        <v>210</v>
      </c>
      <c r="C80" s="25">
        <f>72%*B80</f>
        <v>151.19999999999999</v>
      </c>
      <c r="D80" s="25">
        <f>2.1%*C80</f>
        <v>3.1751999999999998</v>
      </c>
      <c r="E80" s="25">
        <f>0.4%*C80</f>
        <v>0.6048</v>
      </c>
      <c r="F80" s="25">
        <f>15.6%*C80</f>
        <v>23.587199999999999</v>
      </c>
      <c r="G80" s="25">
        <f>4*(D80+F80)+9*E80</f>
        <v>112.4928</v>
      </c>
    </row>
    <row r="81" spans="1:7" x14ac:dyDescent="0.3">
      <c r="A81" s="54" t="s">
        <v>14</v>
      </c>
      <c r="B81" s="25">
        <v>10</v>
      </c>
      <c r="C81" s="25">
        <f>100%*B81</f>
        <v>10</v>
      </c>
      <c r="D81" s="25"/>
      <c r="E81" s="25">
        <f>99.9%*C81</f>
        <v>9.990000000000002</v>
      </c>
      <c r="F81" s="25"/>
      <c r="G81" s="25">
        <f>4*(D81+F81)+9*E81</f>
        <v>89.910000000000025</v>
      </c>
    </row>
    <row r="82" spans="1:7" x14ac:dyDescent="0.3">
      <c r="A82" s="54" t="s">
        <v>15</v>
      </c>
      <c r="B82" s="25">
        <v>1.5</v>
      </c>
      <c r="C82" s="25">
        <f>100%*B82</f>
        <v>1.5</v>
      </c>
      <c r="D82" s="25"/>
      <c r="E82" s="25"/>
      <c r="F82" s="25"/>
      <c r="G82" s="25">
        <f>4*(D82+F82)+9*E82</f>
        <v>0</v>
      </c>
    </row>
    <row r="83" spans="1:7" x14ac:dyDescent="0.3">
      <c r="A83" s="34" t="s">
        <v>16</v>
      </c>
      <c r="B83" s="115">
        <v>120</v>
      </c>
      <c r="C83" s="116"/>
      <c r="D83" s="26">
        <f>SUM(D80:D82)</f>
        <v>3.1751999999999998</v>
      </c>
      <c r="E83" s="26">
        <f>SUM(E80:E82)</f>
        <v>10.594800000000003</v>
      </c>
      <c r="F83" s="26">
        <f>SUM(F80:F82)</f>
        <v>23.587199999999999</v>
      </c>
      <c r="G83" s="26">
        <f>SUM(G80:G82)</f>
        <v>202.40280000000001</v>
      </c>
    </row>
    <row r="84" spans="1:7" x14ac:dyDescent="0.3">
      <c r="A84" s="18" t="s">
        <v>13</v>
      </c>
      <c r="B84" s="25">
        <v>400</v>
      </c>
      <c r="C84" s="25">
        <f>B84*100%</f>
        <v>400</v>
      </c>
      <c r="D84" s="25">
        <f>C84*7.9%</f>
        <v>31.6</v>
      </c>
      <c r="E84" s="25">
        <f>C84*1%</f>
        <v>4</v>
      </c>
      <c r="F84" s="25">
        <f>C84*49.6%</f>
        <v>198.4</v>
      </c>
      <c r="G84" s="25">
        <f>4*(D84+F84)+9*E84</f>
        <v>956</v>
      </c>
    </row>
    <row r="89" spans="1:7" x14ac:dyDescent="0.3">
      <c r="A89" s="110" t="s">
        <v>104</v>
      </c>
      <c r="B89" s="110"/>
      <c r="C89" s="110"/>
      <c r="D89" s="110"/>
      <c r="E89" s="110"/>
      <c r="F89" s="110"/>
      <c r="G89" s="110"/>
    </row>
    <row r="90" spans="1:7" ht="36" x14ac:dyDescent="0.3">
      <c r="A90" s="111" t="s">
        <v>2</v>
      </c>
      <c r="B90" s="111" t="s">
        <v>3</v>
      </c>
      <c r="C90" s="111"/>
      <c r="D90" s="113" t="s">
        <v>4</v>
      </c>
      <c r="E90" s="113" t="s">
        <v>5</v>
      </c>
      <c r="F90" s="111" t="s">
        <v>6</v>
      </c>
      <c r="G90" s="34" t="s">
        <v>7</v>
      </c>
    </row>
    <row r="91" spans="1:7" x14ac:dyDescent="0.3">
      <c r="A91" s="111"/>
      <c r="B91" s="34" t="s">
        <v>8</v>
      </c>
      <c r="C91" s="34" t="s">
        <v>9</v>
      </c>
      <c r="D91" s="114"/>
      <c r="E91" s="114"/>
      <c r="F91" s="111"/>
      <c r="G91" s="34" t="s">
        <v>10</v>
      </c>
    </row>
    <row r="92" spans="1:7" x14ac:dyDescent="0.3">
      <c r="A92" s="13" t="s">
        <v>59</v>
      </c>
      <c r="B92" s="25">
        <v>80</v>
      </c>
      <c r="C92" s="25">
        <f>86%*B92</f>
        <v>68.8</v>
      </c>
      <c r="D92" s="25"/>
      <c r="E92" s="25"/>
      <c r="F92" s="25">
        <f>12%*C92</f>
        <v>8.2560000000000002</v>
      </c>
      <c r="G92" s="25">
        <f>4*(D92+F92)+9*E92</f>
        <v>33.024000000000001</v>
      </c>
    </row>
    <row r="93" spans="1:7" s="16" customFormat="1" x14ac:dyDescent="0.25">
      <c r="A93" s="13" t="s">
        <v>22</v>
      </c>
      <c r="B93" s="25">
        <v>20</v>
      </c>
      <c r="C93" s="25">
        <f>100%*B93</f>
        <v>20</v>
      </c>
      <c r="D93" s="25"/>
      <c r="E93" s="25"/>
      <c r="F93" s="25">
        <f>99%*C93</f>
        <v>19.8</v>
      </c>
      <c r="G93" s="25">
        <f>4*(D93+F93)+9*E93</f>
        <v>79.2</v>
      </c>
    </row>
    <row r="94" spans="1:7" x14ac:dyDescent="0.3">
      <c r="A94" s="34" t="s">
        <v>16</v>
      </c>
      <c r="B94" s="115">
        <v>250</v>
      </c>
      <c r="C94" s="116"/>
      <c r="D94" s="26">
        <f t="shared" ref="D94:F94" si="7">SUM(D92:D93)</f>
        <v>0</v>
      </c>
      <c r="E94" s="26">
        <f t="shared" si="7"/>
        <v>0</v>
      </c>
      <c r="F94" s="26">
        <f t="shared" si="7"/>
        <v>28.056000000000001</v>
      </c>
      <c r="G94" s="26">
        <f>SUM(G92:G93)</f>
        <v>112.224</v>
      </c>
    </row>
    <row r="95" spans="1:7" x14ac:dyDescent="0.3">
      <c r="A95" s="34" t="s">
        <v>61</v>
      </c>
      <c r="B95" s="117">
        <f>B50+B62+B75+B83+B84+B94</f>
        <v>1720</v>
      </c>
      <c r="C95" s="116"/>
      <c r="D95" s="26">
        <f t="shared" ref="D95:F95" si="8">D50+D62+D75+D83+D84+D94</f>
        <v>74.007059999999996</v>
      </c>
      <c r="E95" s="26">
        <f t="shared" si="8"/>
        <v>66.66640000000001</v>
      </c>
      <c r="F95" s="26">
        <f t="shared" si="8"/>
        <v>300.43430000000001</v>
      </c>
      <c r="G95" s="26">
        <f>G50+G62+G75+G83+G84+G94</f>
        <v>2097.7630400000003</v>
      </c>
    </row>
    <row r="99" spans="1:7" x14ac:dyDescent="0.35">
      <c r="A99" s="52" t="s">
        <v>63</v>
      </c>
    </row>
    <row r="100" spans="1:7" s="17" customFormat="1" x14ac:dyDescent="0.3">
      <c r="A100" s="110" t="s">
        <v>105</v>
      </c>
      <c r="B100" s="110"/>
      <c r="C100" s="110"/>
      <c r="D100" s="110"/>
      <c r="E100" s="110"/>
      <c r="F100" s="110"/>
      <c r="G100" s="110"/>
    </row>
    <row r="101" spans="1:7" ht="36" x14ac:dyDescent="0.3">
      <c r="A101" s="111" t="s">
        <v>2</v>
      </c>
      <c r="B101" s="111" t="s">
        <v>3</v>
      </c>
      <c r="C101" s="111"/>
      <c r="D101" s="113" t="s">
        <v>4</v>
      </c>
      <c r="E101" s="113" t="s">
        <v>5</v>
      </c>
      <c r="F101" s="111" t="s">
        <v>6</v>
      </c>
      <c r="G101" s="34" t="s">
        <v>7</v>
      </c>
    </row>
    <row r="102" spans="1:7" x14ac:dyDescent="0.3">
      <c r="A102" s="111"/>
      <c r="B102" s="34" t="s">
        <v>8</v>
      </c>
      <c r="C102" s="34" t="s">
        <v>9</v>
      </c>
      <c r="D102" s="114"/>
      <c r="E102" s="114"/>
      <c r="F102" s="111"/>
      <c r="G102" s="34" t="s">
        <v>10</v>
      </c>
    </row>
    <row r="103" spans="1:7" x14ac:dyDescent="0.3">
      <c r="A103" s="13" t="s">
        <v>36</v>
      </c>
      <c r="B103" s="25">
        <v>150</v>
      </c>
      <c r="C103" s="25">
        <f>92%*B103</f>
        <v>138</v>
      </c>
      <c r="D103" s="25">
        <f>15.48%*C103</f>
        <v>21.362399999999997</v>
      </c>
      <c r="E103" s="25">
        <f>8.69%*C103</f>
        <v>11.992199999999999</v>
      </c>
      <c r="F103" s="25"/>
      <c r="G103" s="25">
        <f>4*(D103+F103)+9*E103</f>
        <v>193.37939999999998</v>
      </c>
    </row>
    <row r="104" spans="1:7" x14ac:dyDescent="0.3">
      <c r="A104" s="54" t="s">
        <v>15</v>
      </c>
      <c r="B104" s="25">
        <v>2</v>
      </c>
      <c r="C104" s="25">
        <f>100%*B104</f>
        <v>2</v>
      </c>
      <c r="D104" s="25"/>
      <c r="E104" s="25"/>
      <c r="F104" s="25"/>
      <c r="G104" s="25"/>
    </row>
    <row r="105" spans="1:7" x14ac:dyDescent="0.3">
      <c r="A105" s="57" t="s">
        <v>16</v>
      </c>
      <c r="B105" s="123">
        <v>130</v>
      </c>
      <c r="C105" s="124"/>
      <c r="D105" s="26">
        <f>SUM(D103:D104)</f>
        <v>21.362399999999997</v>
      </c>
      <c r="E105" s="26">
        <f>SUM(E103:E104)</f>
        <v>11.992199999999999</v>
      </c>
      <c r="F105" s="26">
        <f>SUM(F103:F104)</f>
        <v>0</v>
      </c>
      <c r="G105" s="26">
        <f>SUM(G103:G104)</f>
        <v>193.37939999999998</v>
      </c>
    </row>
    <row r="110" spans="1:7" x14ac:dyDescent="0.3">
      <c r="A110" s="97" t="s">
        <v>99</v>
      </c>
      <c r="B110" s="97"/>
      <c r="C110" s="97"/>
      <c r="D110" s="97"/>
      <c r="E110" s="97"/>
      <c r="F110" s="97"/>
      <c r="G110" s="97"/>
    </row>
    <row r="111" spans="1:7" ht="36" x14ac:dyDescent="0.3">
      <c r="A111" s="98" t="s">
        <v>2</v>
      </c>
      <c r="B111" s="98" t="s">
        <v>3</v>
      </c>
      <c r="C111" s="98"/>
      <c r="D111" s="99" t="s">
        <v>4</v>
      </c>
      <c r="E111" s="99" t="s">
        <v>5</v>
      </c>
      <c r="F111" s="98" t="s">
        <v>6</v>
      </c>
      <c r="G111" s="35" t="s">
        <v>7</v>
      </c>
    </row>
    <row r="112" spans="1:7" ht="30.75" customHeight="1" x14ac:dyDescent="0.3">
      <c r="A112" s="98"/>
      <c r="B112" s="35" t="s">
        <v>8</v>
      </c>
      <c r="C112" s="35" t="s">
        <v>9</v>
      </c>
      <c r="D112" s="100"/>
      <c r="E112" s="100"/>
      <c r="F112" s="98"/>
      <c r="G112" s="35" t="s">
        <v>10</v>
      </c>
    </row>
    <row r="113" spans="1:7" x14ac:dyDescent="0.3">
      <c r="A113" s="4" t="s">
        <v>46</v>
      </c>
      <c r="B113" s="27">
        <v>105</v>
      </c>
      <c r="C113" s="27">
        <f>72%*B113</f>
        <v>75.599999999999994</v>
      </c>
      <c r="D113" s="27">
        <f>2.1%*C113</f>
        <v>1.5875999999999999</v>
      </c>
      <c r="E113" s="27">
        <f>0.4%*C113</f>
        <v>0.3024</v>
      </c>
      <c r="F113" s="27">
        <f>15.6%*C113</f>
        <v>11.7936</v>
      </c>
      <c r="G113" s="27">
        <f t="shared" ref="G113:G118" si="9">4*(D113+F113)+9*E113</f>
        <v>56.246400000000001</v>
      </c>
    </row>
    <row r="114" spans="1:7" x14ac:dyDescent="0.3">
      <c r="A114" s="13" t="s">
        <v>23</v>
      </c>
      <c r="B114" s="25">
        <v>40</v>
      </c>
      <c r="C114" s="25">
        <f t="shared" ref="C114" si="10">B114*100%</f>
        <v>40</v>
      </c>
      <c r="D114" s="25">
        <f>C114*20%</f>
        <v>8</v>
      </c>
      <c r="E114" s="25">
        <f>C114*2%</f>
        <v>0.8</v>
      </c>
      <c r="F114" s="25">
        <f>C114*48%</f>
        <v>19.2</v>
      </c>
      <c r="G114" s="25">
        <f t="shared" si="9"/>
        <v>116</v>
      </c>
    </row>
    <row r="115" spans="1:7" x14ac:dyDescent="0.3">
      <c r="A115" s="4" t="s">
        <v>45</v>
      </c>
      <c r="B115" s="27">
        <v>60</v>
      </c>
      <c r="C115" s="27">
        <f>80%*B115</f>
        <v>48</v>
      </c>
      <c r="D115" s="27">
        <f>1.77%*C115</f>
        <v>0.84960000000000002</v>
      </c>
      <c r="E115" s="27"/>
      <c r="F115" s="27">
        <f>11%*C115</f>
        <v>5.28</v>
      </c>
      <c r="G115" s="27">
        <f t="shared" si="9"/>
        <v>24.5184</v>
      </c>
    </row>
    <row r="116" spans="1:7" x14ac:dyDescent="0.3">
      <c r="A116" s="4" t="s">
        <v>14</v>
      </c>
      <c r="B116" s="27">
        <v>10</v>
      </c>
      <c r="C116" s="27">
        <f>100%*B116</f>
        <v>10</v>
      </c>
      <c r="D116" s="27"/>
      <c r="E116" s="27">
        <f>99.9%*C116</f>
        <v>9.990000000000002</v>
      </c>
      <c r="F116" s="27"/>
      <c r="G116" s="27">
        <f t="shared" si="9"/>
        <v>89.910000000000025</v>
      </c>
    </row>
    <row r="117" spans="1:7" x14ac:dyDescent="0.3">
      <c r="A117" s="4" t="s">
        <v>42</v>
      </c>
      <c r="B117" s="27">
        <v>7</v>
      </c>
      <c r="C117" s="27">
        <f>85%*B117</f>
        <v>5.95</v>
      </c>
      <c r="D117" s="27"/>
      <c r="E117" s="27"/>
      <c r="F117" s="27"/>
      <c r="G117" s="27">
        <f t="shared" si="9"/>
        <v>0</v>
      </c>
    </row>
    <row r="118" spans="1:7" x14ac:dyDescent="0.3">
      <c r="A118" s="41" t="s">
        <v>15</v>
      </c>
      <c r="B118" s="27">
        <v>2</v>
      </c>
      <c r="C118" s="27">
        <f>100%*B118</f>
        <v>2</v>
      </c>
      <c r="D118" s="27"/>
      <c r="E118" s="27"/>
      <c r="F118" s="27"/>
      <c r="G118" s="27">
        <f t="shared" si="9"/>
        <v>0</v>
      </c>
    </row>
    <row r="119" spans="1:7" x14ac:dyDescent="0.3">
      <c r="A119" s="35" t="s">
        <v>16</v>
      </c>
      <c r="B119" s="93">
        <v>200</v>
      </c>
      <c r="C119" s="94"/>
      <c r="D119" s="28">
        <f>SUM(D113:D118)</f>
        <v>10.437200000000001</v>
      </c>
      <c r="E119" s="28">
        <f>SUM(E113:E118)</f>
        <v>11.092400000000001</v>
      </c>
      <c r="F119" s="28">
        <f>SUM(F113:F118)</f>
        <v>36.273600000000002</v>
      </c>
      <c r="G119" s="28">
        <f>SUM(G113:G118)</f>
        <v>286.6748</v>
      </c>
    </row>
    <row r="123" spans="1:7" x14ac:dyDescent="0.3">
      <c r="A123" s="58" t="s">
        <v>102</v>
      </c>
      <c r="B123" s="58"/>
      <c r="C123" s="58"/>
      <c r="D123" s="58"/>
      <c r="E123" s="58"/>
      <c r="F123" s="58"/>
      <c r="G123" s="58"/>
    </row>
    <row r="124" spans="1:7" ht="36" x14ac:dyDescent="0.3">
      <c r="A124" s="98" t="s">
        <v>2</v>
      </c>
      <c r="B124" s="98" t="s">
        <v>3</v>
      </c>
      <c r="C124" s="98"/>
      <c r="D124" s="99" t="s">
        <v>4</v>
      </c>
      <c r="E124" s="99" t="s">
        <v>5</v>
      </c>
      <c r="F124" s="98" t="s">
        <v>6</v>
      </c>
      <c r="G124" s="35" t="s">
        <v>7</v>
      </c>
    </row>
    <row r="125" spans="1:7" x14ac:dyDescent="0.3">
      <c r="A125" s="98"/>
      <c r="B125" s="35" t="s">
        <v>8</v>
      </c>
      <c r="C125" s="35" t="s">
        <v>9</v>
      </c>
      <c r="D125" s="100"/>
      <c r="E125" s="100"/>
      <c r="F125" s="98"/>
      <c r="G125" s="35" t="s">
        <v>10</v>
      </c>
    </row>
    <row r="126" spans="1:7" x14ac:dyDescent="0.3">
      <c r="A126" s="54" t="s">
        <v>17</v>
      </c>
      <c r="B126" s="25">
        <v>40</v>
      </c>
      <c r="C126" s="25">
        <f>B126*100%</f>
        <v>40</v>
      </c>
      <c r="D126" s="25">
        <f>C126*10%</f>
        <v>4</v>
      </c>
      <c r="E126" s="25">
        <f>C126*1.3%</f>
        <v>0.52</v>
      </c>
      <c r="F126" s="25">
        <f>C126*69%</f>
        <v>27.599999999999998</v>
      </c>
      <c r="G126" s="25">
        <f t="shared" ref="G126:G132" si="11">4*(D126+F126)+9*E126</f>
        <v>131.07999999999998</v>
      </c>
    </row>
    <row r="127" spans="1:7" x14ac:dyDescent="0.3">
      <c r="A127" s="54" t="s">
        <v>20</v>
      </c>
      <c r="B127" s="25">
        <v>0.25</v>
      </c>
      <c r="C127" s="25">
        <f>B127*48</f>
        <v>12</v>
      </c>
      <c r="D127" s="25">
        <f>12.7%*C127</f>
        <v>1.524</v>
      </c>
      <c r="E127" s="25">
        <f>11.5%*C127</f>
        <v>1.3800000000000001</v>
      </c>
      <c r="F127" s="25"/>
      <c r="G127" s="25">
        <f t="shared" si="11"/>
        <v>18.516000000000002</v>
      </c>
    </row>
    <row r="128" spans="1:7" x14ac:dyDescent="0.3">
      <c r="A128" s="54" t="s">
        <v>31</v>
      </c>
      <c r="B128" s="25">
        <v>50</v>
      </c>
      <c r="C128" s="25">
        <f>100%*B128</f>
        <v>50</v>
      </c>
      <c r="D128" s="25">
        <f>2.8%*C128</f>
        <v>1.4</v>
      </c>
      <c r="E128" s="25">
        <f>3.2%*C128</f>
        <v>1.6</v>
      </c>
      <c r="F128" s="25">
        <f>4.7%*C128</f>
        <v>2.35</v>
      </c>
      <c r="G128" s="25">
        <f t="shared" si="11"/>
        <v>29.4</v>
      </c>
    </row>
    <row r="129" spans="1:7" x14ac:dyDescent="0.3">
      <c r="A129" s="54" t="s">
        <v>22</v>
      </c>
      <c r="B129" s="25">
        <v>5</v>
      </c>
      <c r="C129" s="25">
        <f>100%*B129</f>
        <v>5</v>
      </c>
      <c r="D129" s="25"/>
      <c r="E129" s="25"/>
      <c r="F129" s="25">
        <f>99%*C129</f>
        <v>4.95</v>
      </c>
      <c r="G129" s="25">
        <f t="shared" si="11"/>
        <v>19.8</v>
      </c>
    </row>
    <row r="130" spans="1:7" x14ac:dyDescent="0.3">
      <c r="A130" s="13" t="s">
        <v>19</v>
      </c>
      <c r="B130" s="25">
        <v>10</v>
      </c>
      <c r="C130" s="25">
        <f>100%*B130</f>
        <v>10</v>
      </c>
      <c r="D130" s="25"/>
      <c r="E130" s="25">
        <f>72.57%*C130</f>
        <v>7.2569999999999988</v>
      </c>
      <c r="F130" s="25"/>
      <c r="G130" s="25">
        <f>4*(D130+F130)+9*E130</f>
        <v>65.312999999999988</v>
      </c>
    </row>
    <row r="131" spans="1:7" x14ac:dyDescent="0.3">
      <c r="A131" s="54" t="s">
        <v>66</v>
      </c>
      <c r="B131" s="25">
        <v>2</v>
      </c>
      <c r="C131" s="25">
        <f>100%*B131</f>
        <v>2</v>
      </c>
      <c r="D131" s="25"/>
      <c r="E131" s="25"/>
      <c r="F131" s="25"/>
      <c r="G131" s="25">
        <f t="shared" si="11"/>
        <v>0</v>
      </c>
    </row>
    <row r="132" spans="1:7" x14ac:dyDescent="0.3">
      <c r="A132" s="54" t="s">
        <v>15</v>
      </c>
      <c r="B132" s="25">
        <v>1</v>
      </c>
      <c r="C132" s="25">
        <f>100%*B132</f>
        <v>1</v>
      </c>
      <c r="D132" s="25"/>
      <c r="E132" s="25"/>
      <c r="F132" s="25"/>
      <c r="G132" s="25">
        <f t="shared" si="11"/>
        <v>0</v>
      </c>
    </row>
    <row r="133" spans="1:7" x14ac:dyDescent="0.3">
      <c r="A133" s="34" t="s">
        <v>16</v>
      </c>
      <c r="B133" s="115">
        <v>120</v>
      </c>
      <c r="C133" s="116"/>
      <c r="D133" s="26">
        <f>SUM(D126:D132)</f>
        <v>6.9239999999999995</v>
      </c>
      <c r="E133" s="26">
        <f>SUM(E126:E132)</f>
        <v>10.756999999999998</v>
      </c>
      <c r="F133" s="26">
        <f>SUM(F126:F132)</f>
        <v>34.9</v>
      </c>
      <c r="G133" s="26">
        <f>SUM(G126:G132)</f>
        <v>264.10899999999998</v>
      </c>
    </row>
    <row r="134" spans="1:7" x14ac:dyDescent="0.3">
      <c r="A134" s="56"/>
      <c r="B134" s="130"/>
      <c r="C134" s="130"/>
      <c r="D134" s="130"/>
      <c r="E134" s="130"/>
      <c r="F134" s="130"/>
      <c r="G134" s="130"/>
    </row>
    <row r="137" spans="1:7" x14ac:dyDescent="0.3">
      <c r="A137" s="110" t="s">
        <v>91</v>
      </c>
      <c r="B137" s="110"/>
      <c r="C137" s="110"/>
      <c r="D137" s="110"/>
      <c r="E137" s="110"/>
      <c r="F137" s="110"/>
      <c r="G137" s="110"/>
    </row>
    <row r="138" spans="1:7" ht="36" x14ac:dyDescent="0.3">
      <c r="A138" s="111" t="s">
        <v>2</v>
      </c>
      <c r="B138" s="111" t="s">
        <v>3</v>
      </c>
      <c r="C138" s="111"/>
      <c r="D138" s="113" t="s">
        <v>4</v>
      </c>
      <c r="E138" s="113" t="s">
        <v>5</v>
      </c>
      <c r="F138" s="111" t="s">
        <v>6</v>
      </c>
      <c r="G138" s="34" t="s">
        <v>7</v>
      </c>
    </row>
    <row r="139" spans="1:7" x14ac:dyDescent="0.3">
      <c r="A139" s="111"/>
      <c r="B139" s="34" t="s">
        <v>8</v>
      </c>
      <c r="C139" s="34" t="s">
        <v>9</v>
      </c>
      <c r="D139" s="114"/>
      <c r="E139" s="114"/>
      <c r="F139" s="111"/>
      <c r="G139" s="34" t="s">
        <v>10</v>
      </c>
    </row>
    <row r="140" spans="1:7" x14ac:dyDescent="0.3">
      <c r="A140" s="54" t="s">
        <v>91</v>
      </c>
      <c r="B140" s="25">
        <v>1</v>
      </c>
      <c r="C140" s="25">
        <f>100%*B140</f>
        <v>1</v>
      </c>
      <c r="D140" s="25"/>
      <c r="E140" s="25"/>
      <c r="F140" s="25"/>
      <c r="G140" s="25">
        <f>4*(D140+F140)+9*E140</f>
        <v>0</v>
      </c>
    </row>
    <row r="141" spans="1:7" x14ac:dyDescent="0.3">
      <c r="A141" s="54" t="s">
        <v>22</v>
      </c>
      <c r="B141" s="25">
        <v>20</v>
      </c>
      <c r="C141" s="25">
        <f>100%*B141</f>
        <v>20</v>
      </c>
      <c r="D141" s="25"/>
      <c r="E141" s="25"/>
      <c r="F141" s="25">
        <f>99%*C141</f>
        <v>19.8</v>
      </c>
      <c r="G141" s="25">
        <f>4*(D141+F141)+9*E141</f>
        <v>79.2</v>
      </c>
    </row>
    <row r="142" spans="1:7" x14ac:dyDescent="0.3">
      <c r="A142" s="57" t="s">
        <v>16</v>
      </c>
      <c r="B142" s="123">
        <v>250</v>
      </c>
      <c r="C142" s="124"/>
      <c r="D142" s="26">
        <f>SUM(D140:D141)</f>
        <v>0</v>
      </c>
      <c r="E142" s="26">
        <f>SUM(E140:E141)</f>
        <v>0</v>
      </c>
      <c r="F142" s="26">
        <f>SUM(F140:F141)</f>
        <v>19.8</v>
      </c>
      <c r="G142" s="26">
        <f>SUM(G140:G141)</f>
        <v>79.2</v>
      </c>
    </row>
    <row r="143" spans="1:7" x14ac:dyDescent="0.3">
      <c r="A143" s="18" t="s">
        <v>13</v>
      </c>
      <c r="B143" s="25">
        <v>200</v>
      </c>
      <c r="C143" s="25">
        <f>B143*100%</f>
        <v>200</v>
      </c>
      <c r="D143" s="25">
        <f>C143*7.9%</f>
        <v>15.8</v>
      </c>
      <c r="E143" s="25">
        <f>C143*1%</f>
        <v>2</v>
      </c>
      <c r="F143" s="25">
        <f>C143*49.6%</f>
        <v>99.2</v>
      </c>
      <c r="G143" s="25">
        <f>4*(D143+F143)+9*E143</f>
        <v>478</v>
      </c>
    </row>
    <row r="144" spans="1:7" x14ac:dyDescent="0.3">
      <c r="A144" s="34" t="s">
        <v>67</v>
      </c>
      <c r="B144" s="117">
        <f>B105+B119+B133+B142+B143</f>
        <v>900</v>
      </c>
      <c r="C144" s="116"/>
      <c r="D144" s="26">
        <f t="shared" ref="D144:F144" si="12">D105+D119+D133+D142+D143</f>
        <v>54.523600000000002</v>
      </c>
      <c r="E144" s="26">
        <f t="shared" si="12"/>
        <v>35.8416</v>
      </c>
      <c r="F144" s="26">
        <f t="shared" si="12"/>
        <v>190.17359999999999</v>
      </c>
      <c r="G144" s="26">
        <f>G105+G119+G133+G142+G143</f>
        <v>1301.3632</v>
      </c>
    </row>
    <row r="148" spans="1:7" x14ac:dyDescent="0.3">
      <c r="A148" s="56" t="s">
        <v>68</v>
      </c>
      <c r="B148" s="129">
        <f>B35+B95+B144</f>
        <v>3430</v>
      </c>
      <c r="C148" s="129"/>
      <c r="D148" s="31">
        <f>D35+D95+D144</f>
        <v>167.16466</v>
      </c>
      <c r="E148" s="31">
        <f>E35+E95+E144</f>
        <v>129.25850000000003</v>
      </c>
      <c r="F148" s="31">
        <f>F35+F95+F144</f>
        <v>699.15790000000004</v>
      </c>
      <c r="G148" s="31">
        <f>G35+G95+G144</f>
        <v>4628.6167400000004</v>
      </c>
    </row>
    <row r="151" spans="1:7" x14ac:dyDescent="0.35">
      <c r="A151" s="52" t="s">
        <v>78</v>
      </c>
      <c r="G151" s="33">
        <f>G35/G148</f>
        <v>0.26562806321268234</v>
      </c>
    </row>
    <row r="152" spans="1:7" s="19" customFormat="1" x14ac:dyDescent="0.35">
      <c r="A152" s="52" t="s">
        <v>79</v>
      </c>
      <c r="B152" s="24"/>
      <c r="C152" s="24"/>
      <c r="D152" s="24"/>
      <c r="E152" s="24"/>
      <c r="F152" s="24"/>
      <c r="G152" s="33">
        <f>G95/G148</f>
        <v>0.45321597311597678</v>
      </c>
    </row>
    <row r="153" spans="1:7" x14ac:dyDescent="0.35">
      <c r="A153" s="52" t="s">
        <v>80</v>
      </c>
      <c r="G153" s="33">
        <f>G144/G148</f>
        <v>0.28115596367134083</v>
      </c>
    </row>
  </sheetData>
  <mergeCells count="87">
    <mergeCell ref="A1:G1"/>
    <mergeCell ref="F78:F79"/>
    <mergeCell ref="A110:G110"/>
    <mergeCell ref="A111:A112"/>
    <mergeCell ref="B111:C111"/>
    <mergeCell ref="D111:D112"/>
    <mergeCell ref="E111:E112"/>
    <mergeCell ref="F111:F112"/>
    <mergeCell ref="B94:C94"/>
    <mergeCell ref="B83:C83"/>
    <mergeCell ref="A78:A79"/>
    <mergeCell ref="B78:C78"/>
    <mergeCell ref="D78:D79"/>
    <mergeCell ref="E78:E79"/>
    <mergeCell ref="A100:G100"/>
    <mergeCell ref="A101:A102"/>
    <mergeCell ref="B101:C101"/>
    <mergeCell ref="B142:C142"/>
    <mergeCell ref="B144:C144"/>
    <mergeCell ref="B148:C148"/>
    <mergeCell ref="A6:G6"/>
    <mergeCell ref="B14:C14"/>
    <mergeCell ref="A39:A40"/>
    <mergeCell ref="B39:C39"/>
    <mergeCell ref="D39:D40"/>
    <mergeCell ref="E39:E40"/>
    <mergeCell ref="F39:F40"/>
    <mergeCell ref="B134:G134"/>
    <mergeCell ref="A137:G137"/>
    <mergeCell ref="A138:A139"/>
    <mergeCell ref="B138:C138"/>
    <mergeCell ref="D138:D139"/>
    <mergeCell ref="E138:E139"/>
    <mergeCell ref="F138:F139"/>
    <mergeCell ref="B119:C119"/>
    <mergeCell ref="A124:A125"/>
    <mergeCell ref="B105:C105"/>
    <mergeCell ref="B133:C133"/>
    <mergeCell ref="B95:C95"/>
    <mergeCell ref="F124:F125"/>
    <mergeCell ref="A89:G89"/>
    <mergeCell ref="A90:A91"/>
    <mergeCell ref="B90:C90"/>
    <mergeCell ref="D90:D91"/>
    <mergeCell ref="E90:E91"/>
    <mergeCell ref="F90:F91"/>
    <mergeCell ref="D101:D102"/>
    <mergeCell ref="E101:E102"/>
    <mergeCell ref="F101:F102"/>
    <mergeCell ref="B124:C124"/>
    <mergeCell ref="D124:D125"/>
    <mergeCell ref="E124:E125"/>
    <mergeCell ref="A64:G64"/>
    <mergeCell ref="B62:C62"/>
    <mergeCell ref="A65:A66"/>
    <mergeCell ref="B65:C65"/>
    <mergeCell ref="D65:D66"/>
    <mergeCell ref="E65:E66"/>
    <mergeCell ref="F65:F66"/>
    <mergeCell ref="A54:A55"/>
    <mergeCell ref="B54:C54"/>
    <mergeCell ref="D54:D55"/>
    <mergeCell ref="E54:E55"/>
    <mergeCell ref="F54:F55"/>
    <mergeCell ref="A2:G3"/>
    <mergeCell ref="A4:G4"/>
    <mergeCell ref="A7:A8"/>
    <mergeCell ref="B7:C7"/>
    <mergeCell ref="D7:D8"/>
    <mergeCell ref="E7:E8"/>
    <mergeCell ref="F7:F8"/>
    <mergeCell ref="B75:C75"/>
    <mergeCell ref="E30:E31"/>
    <mergeCell ref="F30:F31"/>
    <mergeCell ref="A19:G19"/>
    <mergeCell ref="A20:A21"/>
    <mergeCell ref="B20:C20"/>
    <mergeCell ref="D20:D21"/>
    <mergeCell ref="E20:E21"/>
    <mergeCell ref="F20:F21"/>
    <mergeCell ref="B35:C35"/>
    <mergeCell ref="B24:C24"/>
    <mergeCell ref="A30:A31"/>
    <mergeCell ref="B30:C30"/>
    <mergeCell ref="D30:D31"/>
    <mergeCell ref="B50:C50"/>
    <mergeCell ref="A53:G53"/>
  </mergeCells>
  <pageMargins left="0.2" right="0.2" top="0.41" bottom="1" header="0.5" footer="0.5"/>
  <pageSetup paperSize="9" scale="78" orientation="portrait" r:id="rId1"/>
  <headerFooter alignWithMargins="0"/>
  <rowBreaks count="1" manualBreakCount="1">
    <brk id="50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view="pageBreakPreview" zoomScale="96" zoomScaleNormal="100" zoomScaleSheetLayoutView="96" workbookViewId="0">
      <selection sqref="A1:G1"/>
    </sheetView>
  </sheetViews>
  <sheetFormatPr defaultRowHeight="18" x14ac:dyDescent="0.35"/>
  <cols>
    <col min="1" max="1" width="34.85546875" style="73" bestFit="1" customWidth="1"/>
    <col min="2" max="2" width="12" style="24" customWidth="1"/>
    <col min="3" max="3" width="12.5703125" style="24" customWidth="1"/>
    <col min="4" max="4" width="12.28515625" style="24" customWidth="1"/>
    <col min="5" max="5" width="11.28515625" style="24" customWidth="1"/>
    <col min="6" max="6" width="16.140625" style="24" customWidth="1"/>
    <col min="7" max="7" width="20.42578125" style="24" customWidth="1"/>
    <col min="8" max="237" width="9.140625" style="12"/>
    <col min="238" max="238" width="34.85546875" style="12" bestFit="1" customWidth="1"/>
    <col min="239" max="239" width="12" style="12" customWidth="1"/>
    <col min="240" max="240" width="12.5703125" style="12" customWidth="1"/>
    <col min="241" max="241" width="12.28515625" style="12" customWidth="1"/>
    <col min="242" max="242" width="11.28515625" style="12" customWidth="1"/>
    <col min="243" max="243" width="16.140625" style="12" customWidth="1"/>
    <col min="244" max="244" width="20.42578125" style="12" customWidth="1"/>
    <col min="245" max="493" width="9.140625" style="12"/>
    <col min="494" max="494" width="34.85546875" style="12" bestFit="1" customWidth="1"/>
    <col min="495" max="495" width="12" style="12" customWidth="1"/>
    <col min="496" max="496" width="12.5703125" style="12" customWidth="1"/>
    <col min="497" max="497" width="12.28515625" style="12" customWidth="1"/>
    <col min="498" max="498" width="11.28515625" style="12" customWidth="1"/>
    <col min="499" max="499" width="16.140625" style="12" customWidth="1"/>
    <col min="500" max="500" width="20.42578125" style="12" customWidth="1"/>
    <col min="501" max="749" width="9.140625" style="12"/>
    <col min="750" max="750" width="34.85546875" style="12" bestFit="1" customWidth="1"/>
    <col min="751" max="751" width="12" style="12" customWidth="1"/>
    <col min="752" max="752" width="12.5703125" style="12" customWidth="1"/>
    <col min="753" max="753" width="12.28515625" style="12" customWidth="1"/>
    <col min="754" max="754" width="11.28515625" style="12" customWidth="1"/>
    <col min="755" max="755" width="16.140625" style="12" customWidth="1"/>
    <col min="756" max="756" width="20.42578125" style="12" customWidth="1"/>
    <col min="757" max="1005" width="9.140625" style="12"/>
    <col min="1006" max="1006" width="34.85546875" style="12" bestFit="1" customWidth="1"/>
    <col min="1007" max="1007" width="12" style="12" customWidth="1"/>
    <col min="1008" max="1008" width="12.5703125" style="12" customWidth="1"/>
    <col min="1009" max="1009" width="12.28515625" style="12" customWidth="1"/>
    <col min="1010" max="1010" width="11.28515625" style="12" customWidth="1"/>
    <col min="1011" max="1011" width="16.140625" style="12" customWidth="1"/>
    <col min="1012" max="1012" width="20.42578125" style="12" customWidth="1"/>
    <col min="1013" max="1261" width="9.140625" style="12"/>
    <col min="1262" max="1262" width="34.85546875" style="12" bestFit="1" customWidth="1"/>
    <col min="1263" max="1263" width="12" style="12" customWidth="1"/>
    <col min="1264" max="1264" width="12.5703125" style="12" customWidth="1"/>
    <col min="1265" max="1265" width="12.28515625" style="12" customWidth="1"/>
    <col min="1266" max="1266" width="11.28515625" style="12" customWidth="1"/>
    <col min="1267" max="1267" width="16.140625" style="12" customWidth="1"/>
    <col min="1268" max="1268" width="20.42578125" style="12" customWidth="1"/>
    <col min="1269" max="1517" width="9.140625" style="12"/>
    <col min="1518" max="1518" width="34.85546875" style="12" bestFit="1" customWidth="1"/>
    <col min="1519" max="1519" width="12" style="12" customWidth="1"/>
    <col min="1520" max="1520" width="12.5703125" style="12" customWidth="1"/>
    <col min="1521" max="1521" width="12.28515625" style="12" customWidth="1"/>
    <col min="1522" max="1522" width="11.28515625" style="12" customWidth="1"/>
    <col min="1523" max="1523" width="16.140625" style="12" customWidth="1"/>
    <col min="1524" max="1524" width="20.42578125" style="12" customWidth="1"/>
    <col min="1525" max="1773" width="9.140625" style="12"/>
    <col min="1774" max="1774" width="34.85546875" style="12" bestFit="1" customWidth="1"/>
    <col min="1775" max="1775" width="12" style="12" customWidth="1"/>
    <col min="1776" max="1776" width="12.5703125" style="12" customWidth="1"/>
    <col min="1777" max="1777" width="12.28515625" style="12" customWidth="1"/>
    <col min="1778" max="1778" width="11.28515625" style="12" customWidth="1"/>
    <col min="1779" max="1779" width="16.140625" style="12" customWidth="1"/>
    <col min="1780" max="1780" width="20.42578125" style="12" customWidth="1"/>
    <col min="1781" max="2029" width="9.140625" style="12"/>
    <col min="2030" max="2030" width="34.85546875" style="12" bestFit="1" customWidth="1"/>
    <col min="2031" max="2031" width="12" style="12" customWidth="1"/>
    <col min="2032" max="2032" width="12.5703125" style="12" customWidth="1"/>
    <col min="2033" max="2033" width="12.28515625" style="12" customWidth="1"/>
    <col min="2034" max="2034" width="11.28515625" style="12" customWidth="1"/>
    <col min="2035" max="2035" width="16.140625" style="12" customWidth="1"/>
    <col min="2036" max="2036" width="20.42578125" style="12" customWidth="1"/>
    <col min="2037" max="2285" width="9.140625" style="12"/>
    <col min="2286" max="2286" width="34.85546875" style="12" bestFit="1" customWidth="1"/>
    <col min="2287" max="2287" width="12" style="12" customWidth="1"/>
    <col min="2288" max="2288" width="12.5703125" style="12" customWidth="1"/>
    <col min="2289" max="2289" width="12.28515625" style="12" customWidth="1"/>
    <col min="2290" max="2290" width="11.28515625" style="12" customWidth="1"/>
    <col min="2291" max="2291" width="16.140625" style="12" customWidth="1"/>
    <col min="2292" max="2292" width="20.42578125" style="12" customWidth="1"/>
    <col min="2293" max="2541" width="9.140625" style="12"/>
    <col min="2542" max="2542" width="34.85546875" style="12" bestFit="1" customWidth="1"/>
    <col min="2543" max="2543" width="12" style="12" customWidth="1"/>
    <col min="2544" max="2544" width="12.5703125" style="12" customWidth="1"/>
    <col min="2545" max="2545" width="12.28515625" style="12" customWidth="1"/>
    <col min="2546" max="2546" width="11.28515625" style="12" customWidth="1"/>
    <col min="2547" max="2547" width="16.140625" style="12" customWidth="1"/>
    <col min="2548" max="2548" width="20.42578125" style="12" customWidth="1"/>
    <col min="2549" max="2797" width="9.140625" style="12"/>
    <col min="2798" max="2798" width="34.85546875" style="12" bestFit="1" customWidth="1"/>
    <col min="2799" max="2799" width="12" style="12" customWidth="1"/>
    <col min="2800" max="2800" width="12.5703125" style="12" customWidth="1"/>
    <col min="2801" max="2801" width="12.28515625" style="12" customWidth="1"/>
    <col min="2802" max="2802" width="11.28515625" style="12" customWidth="1"/>
    <col min="2803" max="2803" width="16.140625" style="12" customWidth="1"/>
    <col min="2804" max="2804" width="20.42578125" style="12" customWidth="1"/>
    <col min="2805" max="3053" width="9.140625" style="12"/>
    <col min="3054" max="3054" width="34.85546875" style="12" bestFit="1" customWidth="1"/>
    <col min="3055" max="3055" width="12" style="12" customWidth="1"/>
    <col min="3056" max="3056" width="12.5703125" style="12" customWidth="1"/>
    <col min="3057" max="3057" width="12.28515625" style="12" customWidth="1"/>
    <col min="3058" max="3058" width="11.28515625" style="12" customWidth="1"/>
    <col min="3059" max="3059" width="16.140625" style="12" customWidth="1"/>
    <col min="3060" max="3060" width="20.42578125" style="12" customWidth="1"/>
    <col min="3061" max="3309" width="9.140625" style="12"/>
    <col min="3310" max="3310" width="34.85546875" style="12" bestFit="1" customWidth="1"/>
    <col min="3311" max="3311" width="12" style="12" customWidth="1"/>
    <col min="3312" max="3312" width="12.5703125" style="12" customWidth="1"/>
    <col min="3313" max="3313" width="12.28515625" style="12" customWidth="1"/>
    <col min="3314" max="3314" width="11.28515625" style="12" customWidth="1"/>
    <col min="3315" max="3315" width="16.140625" style="12" customWidth="1"/>
    <col min="3316" max="3316" width="20.42578125" style="12" customWidth="1"/>
    <col min="3317" max="3565" width="9.140625" style="12"/>
    <col min="3566" max="3566" width="34.85546875" style="12" bestFit="1" customWidth="1"/>
    <col min="3567" max="3567" width="12" style="12" customWidth="1"/>
    <col min="3568" max="3568" width="12.5703125" style="12" customWidth="1"/>
    <col min="3569" max="3569" width="12.28515625" style="12" customWidth="1"/>
    <col min="3570" max="3570" width="11.28515625" style="12" customWidth="1"/>
    <col min="3571" max="3571" width="16.140625" style="12" customWidth="1"/>
    <col min="3572" max="3572" width="20.42578125" style="12" customWidth="1"/>
    <col min="3573" max="3821" width="9.140625" style="12"/>
    <col min="3822" max="3822" width="34.85546875" style="12" bestFit="1" customWidth="1"/>
    <col min="3823" max="3823" width="12" style="12" customWidth="1"/>
    <col min="3824" max="3824" width="12.5703125" style="12" customWidth="1"/>
    <col min="3825" max="3825" width="12.28515625" style="12" customWidth="1"/>
    <col min="3826" max="3826" width="11.28515625" style="12" customWidth="1"/>
    <col min="3827" max="3827" width="16.140625" style="12" customWidth="1"/>
    <col min="3828" max="3828" width="20.42578125" style="12" customWidth="1"/>
    <col min="3829" max="4077" width="9.140625" style="12"/>
    <col min="4078" max="4078" width="34.85546875" style="12" bestFit="1" customWidth="1"/>
    <col min="4079" max="4079" width="12" style="12" customWidth="1"/>
    <col min="4080" max="4080" width="12.5703125" style="12" customWidth="1"/>
    <col min="4081" max="4081" width="12.28515625" style="12" customWidth="1"/>
    <col min="4082" max="4082" width="11.28515625" style="12" customWidth="1"/>
    <col min="4083" max="4083" width="16.140625" style="12" customWidth="1"/>
    <col min="4084" max="4084" width="20.42578125" style="12" customWidth="1"/>
    <col min="4085" max="4333" width="9.140625" style="12"/>
    <col min="4334" max="4334" width="34.85546875" style="12" bestFit="1" customWidth="1"/>
    <col min="4335" max="4335" width="12" style="12" customWidth="1"/>
    <col min="4336" max="4336" width="12.5703125" style="12" customWidth="1"/>
    <col min="4337" max="4337" width="12.28515625" style="12" customWidth="1"/>
    <col min="4338" max="4338" width="11.28515625" style="12" customWidth="1"/>
    <col min="4339" max="4339" width="16.140625" style="12" customWidth="1"/>
    <col min="4340" max="4340" width="20.42578125" style="12" customWidth="1"/>
    <col min="4341" max="4589" width="9.140625" style="12"/>
    <col min="4590" max="4590" width="34.85546875" style="12" bestFit="1" customWidth="1"/>
    <col min="4591" max="4591" width="12" style="12" customWidth="1"/>
    <col min="4592" max="4592" width="12.5703125" style="12" customWidth="1"/>
    <col min="4593" max="4593" width="12.28515625" style="12" customWidth="1"/>
    <col min="4594" max="4594" width="11.28515625" style="12" customWidth="1"/>
    <col min="4595" max="4595" width="16.140625" style="12" customWidth="1"/>
    <col min="4596" max="4596" width="20.42578125" style="12" customWidth="1"/>
    <col min="4597" max="4845" width="9.140625" style="12"/>
    <col min="4846" max="4846" width="34.85546875" style="12" bestFit="1" customWidth="1"/>
    <col min="4847" max="4847" width="12" style="12" customWidth="1"/>
    <col min="4848" max="4848" width="12.5703125" style="12" customWidth="1"/>
    <col min="4849" max="4849" width="12.28515625" style="12" customWidth="1"/>
    <col min="4850" max="4850" width="11.28515625" style="12" customWidth="1"/>
    <col min="4851" max="4851" width="16.140625" style="12" customWidth="1"/>
    <col min="4852" max="4852" width="20.42578125" style="12" customWidth="1"/>
    <col min="4853" max="5101" width="9.140625" style="12"/>
    <col min="5102" max="5102" width="34.85546875" style="12" bestFit="1" customWidth="1"/>
    <col min="5103" max="5103" width="12" style="12" customWidth="1"/>
    <col min="5104" max="5104" width="12.5703125" style="12" customWidth="1"/>
    <col min="5105" max="5105" width="12.28515625" style="12" customWidth="1"/>
    <col min="5106" max="5106" width="11.28515625" style="12" customWidth="1"/>
    <col min="5107" max="5107" width="16.140625" style="12" customWidth="1"/>
    <col min="5108" max="5108" width="20.42578125" style="12" customWidth="1"/>
    <col min="5109" max="5357" width="9.140625" style="12"/>
    <col min="5358" max="5358" width="34.85546875" style="12" bestFit="1" customWidth="1"/>
    <col min="5359" max="5359" width="12" style="12" customWidth="1"/>
    <col min="5360" max="5360" width="12.5703125" style="12" customWidth="1"/>
    <col min="5361" max="5361" width="12.28515625" style="12" customWidth="1"/>
    <col min="5362" max="5362" width="11.28515625" style="12" customWidth="1"/>
    <col min="5363" max="5363" width="16.140625" style="12" customWidth="1"/>
    <col min="5364" max="5364" width="20.42578125" style="12" customWidth="1"/>
    <col min="5365" max="5613" width="9.140625" style="12"/>
    <col min="5614" max="5614" width="34.85546875" style="12" bestFit="1" customWidth="1"/>
    <col min="5615" max="5615" width="12" style="12" customWidth="1"/>
    <col min="5616" max="5616" width="12.5703125" style="12" customWidth="1"/>
    <col min="5617" max="5617" width="12.28515625" style="12" customWidth="1"/>
    <col min="5618" max="5618" width="11.28515625" style="12" customWidth="1"/>
    <col min="5619" max="5619" width="16.140625" style="12" customWidth="1"/>
    <col min="5620" max="5620" width="20.42578125" style="12" customWidth="1"/>
    <col min="5621" max="5869" width="9.140625" style="12"/>
    <col min="5870" max="5870" width="34.85546875" style="12" bestFit="1" customWidth="1"/>
    <col min="5871" max="5871" width="12" style="12" customWidth="1"/>
    <col min="5872" max="5872" width="12.5703125" style="12" customWidth="1"/>
    <col min="5873" max="5873" width="12.28515625" style="12" customWidth="1"/>
    <col min="5874" max="5874" width="11.28515625" style="12" customWidth="1"/>
    <col min="5875" max="5875" width="16.140625" style="12" customWidth="1"/>
    <col min="5876" max="5876" width="20.42578125" style="12" customWidth="1"/>
    <col min="5877" max="6125" width="9.140625" style="12"/>
    <col min="6126" max="6126" width="34.85546875" style="12" bestFit="1" customWidth="1"/>
    <col min="6127" max="6127" width="12" style="12" customWidth="1"/>
    <col min="6128" max="6128" width="12.5703125" style="12" customWidth="1"/>
    <col min="6129" max="6129" width="12.28515625" style="12" customWidth="1"/>
    <col min="6130" max="6130" width="11.28515625" style="12" customWidth="1"/>
    <col min="6131" max="6131" width="16.140625" style="12" customWidth="1"/>
    <col min="6132" max="6132" width="20.42578125" style="12" customWidth="1"/>
    <col min="6133" max="6381" width="9.140625" style="12"/>
    <col min="6382" max="6382" width="34.85546875" style="12" bestFit="1" customWidth="1"/>
    <col min="6383" max="6383" width="12" style="12" customWidth="1"/>
    <col min="6384" max="6384" width="12.5703125" style="12" customWidth="1"/>
    <col min="6385" max="6385" width="12.28515625" style="12" customWidth="1"/>
    <col min="6386" max="6386" width="11.28515625" style="12" customWidth="1"/>
    <col min="6387" max="6387" width="16.140625" style="12" customWidth="1"/>
    <col min="6388" max="6388" width="20.42578125" style="12" customWidth="1"/>
    <col min="6389" max="6637" width="9.140625" style="12"/>
    <col min="6638" max="6638" width="34.85546875" style="12" bestFit="1" customWidth="1"/>
    <col min="6639" max="6639" width="12" style="12" customWidth="1"/>
    <col min="6640" max="6640" width="12.5703125" style="12" customWidth="1"/>
    <col min="6641" max="6641" width="12.28515625" style="12" customWidth="1"/>
    <col min="6642" max="6642" width="11.28515625" style="12" customWidth="1"/>
    <col min="6643" max="6643" width="16.140625" style="12" customWidth="1"/>
    <col min="6644" max="6644" width="20.42578125" style="12" customWidth="1"/>
    <col min="6645" max="6893" width="9.140625" style="12"/>
    <col min="6894" max="6894" width="34.85546875" style="12" bestFit="1" customWidth="1"/>
    <col min="6895" max="6895" width="12" style="12" customWidth="1"/>
    <col min="6896" max="6896" width="12.5703125" style="12" customWidth="1"/>
    <col min="6897" max="6897" width="12.28515625" style="12" customWidth="1"/>
    <col min="6898" max="6898" width="11.28515625" style="12" customWidth="1"/>
    <col min="6899" max="6899" width="16.140625" style="12" customWidth="1"/>
    <col min="6900" max="6900" width="20.42578125" style="12" customWidth="1"/>
    <col min="6901" max="7149" width="9.140625" style="12"/>
    <col min="7150" max="7150" width="34.85546875" style="12" bestFit="1" customWidth="1"/>
    <col min="7151" max="7151" width="12" style="12" customWidth="1"/>
    <col min="7152" max="7152" width="12.5703125" style="12" customWidth="1"/>
    <col min="7153" max="7153" width="12.28515625" style="12" customWidth="1"/>
    <col min="7154" max="7154" width="11.28515625" style="12" customWidth="1"/>
    <col min="7155" max="7155" width="16.140625" style="12" customWidth="1"/>
    <col min="7156" max="7156" width="20.42578125" style="12" customWidth="1"/>
    <col min="7157" max="7405" width="9.140625" style="12"/>
    <col min="7406" max="7406" width="34.85546875" style="12" bestFit="1" customWidth="1"/>
    <col min="7407" max="7407" width="12" style="12" customWidth="1"/>
    <col min="7408" max="7408" width="12.5703125" style="12" customWidth="1"/>
    <col min="7409" max="7409" width="12.28515625" style="12" customWidth="1"/>
    <col min="7410" max="7410" width="11.28515625" style="12" customWidth="1"/>
    <col min="7411" max="7411" width="16.140625" style="12" customWidth="1"/>
    <col min="7412" max="7412" width="20.42578125" style="12" customWidth="1"/>
    <col min="7413" max="7661" width="9.140625" style="12"/>
    <col min="7662" max="7662" width="34.85546875" style="12" bestFit="1" customWidth="1"/>
    <col min="7663" max="7663" width="12" style="12" customWidth="1"/>
    <col min="7664" max="7664" width="12.5703125" style="12" customWidth="1"/>
    <col min="7665" max="7665" width="12.28515625" style="12" customWidth="1"/>
    <col min="7666" max="7666" width="11.28515625" style="12" customWidth="1"/>
    <col min="7667" max="7667" width="16.140625" style="12" customWidth="1"/>
    <col min="7668" max="7668" width="20.42578125" style="12" customWidth="1"/>
    <col min="7669" max="7917" width="9.140625" style="12"/>
    <col min="7918" max="7918" width="34.85546875" style="12" bestFit="1" customWidth="1"/>
    <col min="7919" max="7919" width="12" style="12" customWidth="1"/>
    <col min="7920" max="7920" width="12.5703125" style="12" customWidth="1"/>
    <col min="7921" max="7921" width="12.28515625" style="12" customWidth="1"/>
    <col min="7922" max="7922" width="11.28515625" style="12" customWidth="1"/>
    <col min="7923" max="7923" width="16.140625" style="12" customWidth="1"/>
    <col min="7924" max="7924" width="20.42578125" style="12" customWidth="1"/>
    <col min="7925" max="8173" width="9.140625" style="12"/>
    <col min="8174" max="8174" width="34.85546875" style="12" bestFit="1" customWidth="1"/>
    <col min="8175" max="8175" width="12" style="12" customWidth="1"/>
    <col min="8176" max="8176" width="12.5703125" style="12" customWidth="1"/>
    <col min="8177" max="8177" width="12.28515625" style="12" customWidth="1"/>
    <col min="8178" max="8178" width="11.28515625" style="12" customWidth="1"/>
    <col min="8179" max="8179" width="16.140625" style="12" customWidth="1"/>
    <col min="8180" max="8180" width="20.42578125" style="12" customWidth="1"/>
    <col min="8181" max="8429" width="9.140625" style="12"/>
    <col min="8430" max="8430" width="34.85546875" style="12" bestFit="1" customWidth="1"/>
    <col min="8431" max="8431" width="12" style="12" customWidth="1"/>
    <col min="8432" max="8432" width="12.5703125" style="12" customWidth="1"/>
    <col min="8433" max="8433" width="12.28515625" style="12" customWidth="1"/>
    <col min="8434" max="8434" width="11.28515625" style="12" customWidth="1"/>
    <col min="8435" max="8435" width="16.140625" style="12" customWidth="1"/>
    <col min="8436" max="8436" width="20.42578125" style="12" customWidth="1"/>
    <col min="8437" max="8685" width="9.140625" style="12"/>
    <col min="8686" max="8686" width="34.85546875" style="12" bestFit="1" customWidth="1"/>
    <col min="8687" max="8687" width="12" style="12" customWidth="1"/>
    <col min="8688" max="8688" width="12.5703125" style="12" customWidth="1"/>
    <col min="8689" max="8689" width="12.28515625" style="12" customWidth="1"/>
    <col min="8690" max="8690" width="11.28515625" style="12" customWidth="1"/>
    <col min="8691" max="8691" width="16.140625" style="12" customWidth="1"/>
    <col min="8692" max="8692" width="20.42578125" style="12" customWidth="1"/>
    <col min="8693" max="8941" width="9.140625" style="12"/>
    <col min="8942" max="8942" width="34.85546875" style="12" bestFit="1" customWidth="1"/>
    <col min="8943" max="8943" width="12" style="12" customWidth="1"/>
    <col min="8944" max="8944" width="12.5703125" style="12" customWidth="1"/>
    <col min="8945" max="8945" width="12.28515625" style="12" customWidth="1"/>
    <col min="8946" max="8946" width="11.28515625" style="12" customWidth="1"/>
    <col min="8947" max="8947" width="16.140625" style="12" customWidth="1"/>
    <col min="8948" max="8948" width="20.42578125" style="12" customWidth="1"/>
    <col min="8949" max="9197" width="9.140625" style="12"/>
    <col min="9198" max="9198" width="34.85546875" style="12" bestFit="1" customWidth="1"/>
    <col min="9199" max="9199" width="12" style="12" customWidth="1"/>
    <col min="9200" max="9200" width="12.5703125" style="12" customWidth="1"/>
    <col min="9201" max="9201" width="12.28515625" style="12" customWidth="1"/>
    <col min="9202" max="9202" width="11.28515625" style="12" customWidth="1"/>
    <col min="9203" max="9203" width="16.140625" style="12" customWidth="1"/>
    <col min="9204" max="9204" width="20.42578125" style="12" customWidth="1"/>
    <col min="9205" max="9453" width="9.140625" style="12"/>
    <col min="9454" max="9454" width="34.85546875" style="12" bestFit="1" customWidth="1"/>
    <col min="9455" max="9455" width="12" style="12" customWidth="1"/>
    <col min="9456" max="9456" width="12.5703125" style="12" customWidth="1"/>
    <col min="9457" max="9457" width="12.28515625" style="12" customWidth="1"/>
    <col min="9458" max="9458" width="11.28515625" style="12" customWidth="1"/>
    <col min="9459" max="9459" width="16.140625" style="12" customWidth="1"/>
    <col min="9460" max="9460" width="20.42578125" style="12" customWidth="1"/>
    <col min="9461" max="9709" width="9.140625" style="12"/>
    <col min="9710" max="9710" width="34.85546875" style="12" bestFit="1" customWidth="1"/>
    <col min="9711" max="9711" width="12" style="12" customWidth="1"/>
    <col min="9712" max="9712" width="12.5703125" style="12" customWidth="1"/>
    <col min="9713" max="9713" width="12.28515625" style="12" customWidth="1"/>
    <col min="9714" max="9714" width="11.28515625" style="12" customWidth="1"/>
    <col min="9715" max="9715" width="16.140625" style="12" customWidth="1"/>
    <col min="9716" max="9716" width="20.42578125" style="12" customWidth="1"/>
    <col min="9717" max="9965" width="9.140625" style="12"/>
    <col min="9966" max="9966" width="34.85546875" style="12" bestFit="1" customWidth="1"/>
    <col min="9967" max="9967" width="12" style="12" customWidth="1"/>
    <col min="9968" max="9968" width="12.5703125" style="12" customWidth="1"/>
    <col min="9969" max="9969" width="12.28515625" style="12" customWidth="1"/>
    <col min="9970" max="9970" width="11.28515625" style="12" customWidth="1"/>
    <col min="9971" max="9971" width="16.140625" style="12" customWidth="1"/>
    <col min="9972" max="9972" width="20.42578125" style="12" customWidth="1"/>
    <col min="9973" max="10221" width="9.140625" style="12"/>
    <col min="10222" max="10222" width="34.85546875" style="12" bestFit="1" customWidth="1"/>
    <col min="10223" max="10223" width="12" style="12" customWidth="1"/>
    <col min="10224" max="10224" width="12.5703125" style="12" customWidth="1"/>
    <col min="10225" max="10225" width="12.28515625" style="12" customWidth="1"/>
    <col min="10226" max="10226" width="11.28515625" style="12" customWidth="1"/>
    <col min="10227" max="10227" width="16.140625" style="12" customWidth="1"/>
    <col min="10228" max="10228" width="20.42578125" style="12" customWidth="1"/>
    <col min="10229" max="10477" width="9.140625" style="12"/>
    <col min="10478" max="10478" width="34.85546875" style="12" bestFit="1" customWidth="1"/>
    <col min="10479" max="10479" width="12" style="12" customWidth="1"/>
    <col min="10480" max="10480" width="12.5703125" style="12" customWidth="1"/>
    <col min="10481" max="10481" width="12.28515625" style="12" customWidth="1"/>
    <col min="10482" max="10482" width="11.28515625" style="12" customWidth="1"/>
    <col min="10483" max="10483" width="16.140625" style="12" customWidth="1"/>
    <col min="10484" max="10484" width="20.42578125" style="12" customWidth="1"/>
    <col min="10485" max="10733" width="9.140625" style="12"/>
    <col min="10734" max="10734" width="34.85546875" style="12" bestFit="1" customWidth="1"/>
    <col min="10735" max="10735" width="12" style="12" customWidth="1"/>
    <col min="10736" max="10736" width="12.5703125" style="12" customWidth="1"/>
    <col min="10737" max="10737" width="12.28515625" style="12" customWidth="1"/>
    <col min="10738" max="10738" width="11.28515625" style="12" customWidth="1"/>
    <col min="10739" max="10739" width="16.140625" style="12" customWidth="1"/>
    <col min="10740" max="10740" width="20.42578125" style="12" customWidth="1"/>
    <col min="10741" max="10989" width="9.140625" style="12"/>
    <col min="10990" max="10990" width="34.85546875" style="12" bestFit="1" customWidth="1"/>
    <col min="10991" max="10991" width="12" style="12" customWidth="1"/>
    <col min="10992" max="10992" width="12.5703125" style="12" customWidth="1"/>
    <col min="10993" max="10993" width="12.28515625" style="12" customWidth="1"/>
    <col min="10994" max="10994" width="11.28515625" style="12" customWidth="1"/>
    <col min="10995" max="10995" width="16.140625" style="12" customWidth="1"/>
    <col min="10996" max="10996" width="20.42578125" style="12" customWidth="1"/>
    <col min="10997" max="11245" width="9.140625" style="12"/>
    <col min="11246" max="11246" width="34.85546875" style="12" bestFit="1" customWidth="1"/>
    <col min="11247" max="11247" width="12" style="12" customWidth="1"/>
    <col min="11248" max="11248" width="12.5703125" style="12" customWidth="1"/>
    <col min="11249" max="11249" width="12.28515625" style="12" customWidth="1"/>
    <col min="11250" max="11250" width="11.28515625" style="12" customWidth="1"/>
    <col min="11251" max="11251" width="16.140625" style="12" customWidth="1"/>
    <col min="11252" max="11252" width="20.42578125" style="12" customWidth="1"/>
    <col min="11253" max="11501" width="9.140625" style="12"/>
    <col min="11502" max="11502" width="34.85546875" style="12" bestFit="1" customWidth="1"/>
    <col min="11503" max="11503" width="12" style="12" customWidth="1"/>
    <col min="11504" max="11504" width="12.5703125" style="12" customWidth="1"/>
    <col min="11505" max="11505" width="12.28515625" style="12" customWidth="1"/>
    <col min="11506" max="11506" width="11.28515625" style="12" customWidth="1"/>
    <col min="11507" max="11507" width="16.140625" style="12" customWidth="1"/>
    <col min="11508" max="11508" width="20.42578125" style="12" customWidth="1"/>
    <col min="11509" max="11757" width="9.140625" style="12"/>
    <col min="11758" max="11758" width="34.85546875" style="12" bestFit="1" customWidth="1"/>
    <col min="11759" max="11759" width="12" style="12" customWidth="1"/>
    <col min="11760" max="11760" width="12.5703125" style="12" customWidth="1"/>
    <col min="11761" max="11761" width="12.28515625" style="12" customWidth="1"/>
    <col min="11762" max="11762" width="11.28515625" style="12" customWidth="1"/>
    <col min="11763" max="11763" width="16.140625" style="12" customWidth="1"/>
    <col min="11764" max="11764" width="20.42578125" style="12" customWidth="1"/>
    <col min="11765" max="12013" width="9.140625" style="12"/>
    <col min="12014" max="12014" width="34.85546875" style="12" bestFit="1" customWidth="1"/>
    <col min="12015" max="12015" width="12" style="12" customWidth="1"/>
    <col min="12016" max="12016" width="12.5703125" style="12" customWidth="1"/>
    <col min="12017" max="12017" width="12.28515625" style="12" customWidth="1"/>
    <col min="12018" max="12018" width="11.28515625" style="12" customWidth="1"/>
    <col min="12019" max="12019" width="16.140625" style="12" customWidth="1"/>
    <col min="12020" max="12020" width="20.42578125" style="12" customWidth="1"/>
    <col min="12021" max="12269" width="9.140625" style="12"/>
    <col min="12270" max="12270" width="34.85546875" style="12" bestFit="1" customWidth="1"/>
    <col min="12271" max="12271" width="12" style="12" customWidth="1"/>
    <col min="12272" max="12272" width="12.5703125" style="12" customWidth="1"/>
    <col min="12273" max="12273" width="12.28515625" style="12" customWidth="1"/>
    <col min="12274" max="12274" width="11.28515625" style="12" customWidth="1"/>
    <col min="12275" max="12275" width="16.140625" style="12" customWidth="1"/>
    <col min="12276" max="12276" width="20.42578125" style="12" customWidth="1"/>
    <col min="12277" max="12525" width="9.140625" style="12"/>
    <col min="12526" max="12526" width="34.85546875" style="12" bestFit="1" customWidth="1"/>
    <col min="12527" max="12527" width="12" style="12" customWidth="1"/>
    <col min="12528" max="12528" width="12.5703125" style="12" customWidth="1"/>
    <col min="12529" max="12529" width="12.28515625" style="12" customWidth="1"/>
    <col min="12530" max="12530" width="11.28515625" style="12" customWidth="1"/>
    <col min="12531" max="12531" width="16.140625" style="12" customWidth="1"/>
    <col min="12532" max="12532" width="20.42578125" style="12" customWidth="1"/>
    <col min="12533" max="12781" width="9.140625" style="12"/>
    <col min="12782" max="12782" width="34.85546875" style="12" bestFit="1" customWidth="1"/>
    <col min="12783" max="12783" width="12" style="12" customWidth="1"/>
    <col min="12784" max="12784" width="12.5703125" style="12" customWidth="1"/>
    <col min="12785" max="12785" width="12.28515625" style="12" customWidth="1"/>
    <col min="12786" max="12786" width="11.28515625" style="12" customWidth="1"/>
    <col min="12787" max="12787" width="16.140625" style="12" customWidth="1"/>
    <col min="12788" max="12788" width="20.42578125" style="12" customWidth="1"/>
    <col min="12789" max="13037" width="9.140625" style="12"/>
    <col min="13038" max="13038" width="34.85546875" style="12" bestFit="1" customWidth="1"/>
    <col min="13039" max="13039" width="12" style="12" customWidth="1"/>
    <col min="13040" max="13040" width="12.5703125" style="12" customWidth="1"/>
    <col min="13041" max="13041" width="12.28515625" style="12" customWidth="1"/>
    <col min="13042" max="13042" width="11.28515625" style="12" customWidth="1"/>
    <col min="13043" max="13043" width="16.140625" style="12" customWidth="1"/>
    <col min="13044" max="13044" width="20.42578125" style="12" customWidth="1"/>
    <col min="13045" max="13293" width="9.140625" style="12"/>
    <col min="13294" max="13294" width="34.85546875" style="12" bestFit="1" customWidth="1"/>
    <col min="13295" max="13295" width="12" style="12" customWidth="1"/>
    <col min="13296" max="13296" width="12.5703125" style="12" customWidth="1"/>
    <col min="13297" max="13297" width="12.28515625" style="12" customWidth="1"/>
    <col min="13298" max="13298" width="11.28515625" style="12" customWidth="1"/>
    <col min="13299" max="13299" width="16.140625" style="12" customWidth="1"/>
    <col min="13300" max="13300" width="20.42578125" style="12" customWidth="1"/>
    <col min="13301" max="13549" width="9.140625" style="12"/>
    <col min="13550" max="13550" width="34.85546875" style="12" bestFit="1" customWidth="1"/>
    <col min="13551" max="13551" width="12" style="12" customWidth="1"/>
    <col min="13552" max="13552" width="12.5703125" style="12" customWidth="1"/>
    <col min="13553" max="13553" width="12.28515625" style="12" customWidth="1"/>
    <col min="13554" max="13554" width="11.28515625" style="12" customWidth="1"/>
    <col min="13555" max="13555" width="16.140625" style="12" customWidth="1"/>
    <col min="13556" max="13556" width="20.42578125" style="12" customWidth="1"/>
    <col min="13557" max="13805" width="9.140625" style="12"/>
    <col min="13806" max="13806" width="34.85546875" style="12" bestFit="1" customWidth="1"/>
    <col min="13807" max="13807" width="12" style="12" customWidth="1"/>
    <col min="13808" max="13808" width="12.5703125" style="12" customWidth="1"/>
    <col min="13809" max="13809" width="12.28515625" style="12" customWidth="1"/>
    <col min="13810" max="13810" width="11.28515625" style="12" customWidth="1"/>
    <col min="13811" max="13811" width="16.140625" style="12" customWidth="1"/>
    <col min="13812" max="13812" width="20.42578125" style="12" customWidth="1"/>
    <col min="13813" max="14061" width="9.140625" style="12"/>
    <col min="14062" max="14062" width="34.85546875" style="12" bestFit="1" customWidth="1"/>
    <col min="14063" max="14063" width="12" style="12" customWidth="1"/>
    <col min="14064" max="14064" width="12.5703125" style="12" customWidth="1"/>
    <col min="14065" max="14065" width="12.28515625" style="12" customWidth="1"/>
    <col min="14066" max="14066" width="11.28515625" style="12" customWidth="1"/>
    <col min="14067" max="14067" width="16.140625" style="12" customWidth="1"/>
    <col min="14068" max="14068" width="20.42578125" style="12" customWidth="1"/>
    <col min="14069" max="14317" width="9.140625" style="12"/>
    <col min="14318" max="14318" width="34.85546875" style="12" bestFit="1" customWidth="1"/>
    <col min="14319" max="14319" width="12" style="12" customWidth="1"/>
    <col min="14320" max="14320" width="12.5703125" style="12" customWidth="1"/>
    <col min="14321" max="14321" width="12.28515625" style="12" customWidth="1"/>
    <col min="14322" max="14322" width="11.28515625" style="12" customWidth="1"/>
    <col min="14323" max="14323" width="16.140625" style="12" customWidth="1"/>
    <col min="14324" max="14324" width="20.42578125" style="12" customWidth="1"/>
    <col min="14325" max="14573" width="9.140625" style="12"/>
    <col min="14574" max="14574" width="34.85546875" style="12" bestFit="1" customWidth="1"/>
    <col min="14575" max="14575" width="12" style="12" customWidth="1"/>
    <col min="14576" max="14576" width="12.5703125" style="12" customWidth="1"/>
    <col min="14577" max="14577" width="12.28515625" style="12" customWidth="1"/>
    <col min="14578" max="14578" width="11.28515625" style="12" customWidth="1"/>
    <col min="14579" max="14579" width="16.140625" style="12" customWidth="1"/>
    <col min="14580" max="14580" width="20.42578125" style="12" customWidth="1"/>
    <col min="14581" max="14829" width="9.140625" style="12"/>
    <col min="14830" max="14830" width="34.85546875" style="12" bestFit="1" customWidth="1"/>
    <col min="14831" max="14831" width="12" style="12" customWidth="1"/>
    <col min="14832" max="14832" width="12.5703125" style="12" customWidth="1"/>
    <col min="14833" max="14833" width="12.28515625" style="12" customWidth="1"/>
    <col min="14834" max="14834" width="11.28515625" style="12" customWidth="1"/>
    <col min="14835" max="14835" width="16.140625" style="12" customWidth="1"/>
    <col min="14836" max="14836" width="20.42578125" style="12" customWidth="1"/>
    <col min="14837" max="15085" width="9.140625" style="12"/>
    <col min="15086" max="15086" width="34.85546875" style="12" bestFit="1" customWidth="1"/>
    <col min="15087" max="15087" width="12" style="12" customWidth="1"/>
    <col min="15088" max="15088" width="12.5703125" style="12" customWidth="1"/>
    <col min="15089" max="15089" width="12.28515625" style="12" customWidth="1"/>
    <col min="15090" max="15090" width="11.28515625" style="12" customWidth="1"/>
    <col min="15091" max="15091" width="16.140625" style="12" customWidth="1"/>
    <col min="15092" max="15092" width="20.42578125" style="12" customWidth="1"/>
    <col min="15093" max="15341" width="9.140625" style="12"/>
    <col min="15342" max="15342" width="34.85546875" style="12" bestFit="1" customWidth="1"/>
    <col min="15343" max="15343" width="12" style="12" customWidth="1"/>
    <col min="15344" max="15344" width="12.5703125" style="12" customWidth="1"/>
    <col min="15345" max="15345" width="12.28515625" style="12" customWidth="1"/>
    <col min="15346" max="15346" width="11.28515625" style="12" customWidth="1"/>
    <col min="15347" max="15347" width="16.140625" style="12" customWidth="1"/>
    <col min="15348" max="15348" width="20.42578125" style="12" customWidth="1"/>
    <col min="15349" max="15597" width="9.140625" style="12"/>
    <col min="15598" max="15598" width="34.85546875" style="12" bestFit="1" customWidth="1"/>
    <col min="15599" max="15599" width="12" style="12" customWidth="1"/>
    <col min="15600" max="15600" width="12.5703125" style="12" customWidth="1"/>
    <col min="15601" max="15601" width="12.28515625" style="12" customWidth="1"/>
    <col min="15602" max="15602" width="11.28515625" style="12" customWidth="1"/>
    <col min="15603" max="15603" width="16.140625" style="12" customWidth="1"/>
    <col min="15604" max="15604" width="20.42578125" style="12" customWidth="1"/>
    <col min="15605" max="15853" width="9.140625" style="12"/>
    <col min="15854" max="15854" width="34.85546875" style="12" bestFit="1" customWidth="1"/>
    <col min="15855" max="15855" width="12" style="12" customWidth="1"/>
    <col min="15856" max="15856" width="12.5703125" style="12" customWidth="1"/>
    <col min="15857" max="15857" width="12.28515625" style="12" customWidth="1"/>
    <col min="15858" max="15858" width="11.28515625" style="12" customWidth="1"/>
    <col min="15859" max="15859" width="16.140625" style="12" customWidth="1"/>
    <col min="15860" max="15860" width="20.42578125" style="12" customWidth="1"/>
    <col min="15861" max="16109" width="9.140625" style="12"/>
    <col min="16110" max="16110" width="34.85546875" style="12" bestFit="1" customWidth="1"/>
    <col min="16111" max="16111" width="12" style="12" customWidth="1"/>
    <col min="16112" max="16112" width="12.5703125" style="12" customWidth="1"/>
    <col min="16113" max="16113" width="12.28515625" style="12" customWidth="1"/>
    <col min="16114" max="16114" width="11.28515625" style="12" customWidth="1"/>
    <col min="16115" max="16115" width="16.140625" style="12" customWidth="1"/>
    <col min="16116" max="16116" width="20.42578125" style="12" customWidth="1"/>
    <col min="16117" max="16384" width="9.140625" style="12"/>
  </cols>
  <sheetData>
    <row r="1" spans="1:7" x14ac:dyDescent="0.35">
      <c r="A1" s="139" t="s">
        <v>135</v>
      </c>
      <c r="B1" s="139"/>
      <c r="C1" s="139"/>
      <c r="D1" s="139"/>
      <c r="E1" s="139"/>
      <c r="F1" s="139"/>
      <c r="G1" s="139"/>
    </row>
    <row r="2" spans="1:7" ht="15" x14ac:dyDescent="0.3">
      <c r="A2" s="108" t="s">
        <v>140</v>
      </c>
      <c r="B2" s="108"/>
      <c r="C2" s="108"/>
      <c r="D2" s="108"/>
      <c r="E2" s="108"/>
      <c r="F2" s="108"/>
      <c r="G2" s="108"/>
    </row>
    <row r="3" spans="1:7" ht="45.75" customHeight="1" x14ac:dyDescent="0.3">
      <c r="A3" s="108"/>
      <c r="B3" s="108"/>
      <c r="C3" s="108"/>
      <c r="D3" s="108"/>
      <c r="E3" s="108"/>
      <c r="F3" s="108"/>
      <c r="G3" s="108"/>
    </row>
    <row r="4" spans="1:7" x14ac:dyDescent="0.35">
      <c r="A4" s="109" t="s">
        <v>106</v>
      </c>
      <c r="B4" s="109"/>
      <c r="C4" s="109"/>
      <c r="D4" s="109"/>
      <c r="E4" s="109"/>
      <c r="F4" s="109"/>
      <c r="G4" s="109"/>
    </row>
    <row r="5" spans="1:7" x14ac:dyDescent="0.35">
      <c r="A5" s="69" t="s">
        <v>1</v>
      </c>
    </row>
    <row r="6" spans="1:7" ht="24.75" customHeight="1" x14ac:dyDescent="0.3">
      <c r="A6" s="110" t="s">
        <v>133</v>
      </c>
      <c r="B6" s="110"/>
      <c r="C6" s="110"/>
      <c r="D6" s="110"/>
      <c r="E6" s="110"/>
      <c r="F6" s="110"/>
      <c r="G6" s="110"/>
    </row>
    <row r="7" spans="1:7" ht="37.5" customHeight="1" x14ac:dyDescent="0.3">
      <c r="A7" s="111" t="s">
        <v>2</v>
      </c>
      <c r="B7" s="111" t="s">
        <v>3</v>
      </c>
      <c r="C7" s="111"/>
      <c r="D7" s="113" t="s">
        <v>4</v>
      </c>
      <c r="E7" s="113" t="s">
        <v>5</v>
      </c>
      <c r="F7" s="111" t="s">
        <v>6</v>
      </c>
      <c r="G7" s="34" t="s">
        <v>7</v>
      </c>
    </row>
    <row r="8" spans="1:7" x14ac:dyDescent="0.3">
      <c r="A8" s="111"/>
      <c r="B8" s="34" t="s">
        <v>8</v>
      </c>
      <c r="C8" s="34" t="s">
        <v>9</v>
      </c>
      <c r="D8" s="114"/>
      <c r="E8" s="114"/>
      <c r="F8" s="111"/>
      <c r="G8" s="34" t="s">
        <v>10</v>
      </c>
    </row>
    <row r="9" spans="1:7" x14ac:dyDescent="0.3">
      <c r="A9" s="54" t="s">
        <v>25</v>
      </c>
      <c r="B9" s="25">
        <v>50</v>
      </c>
      <c r="C9" s="25">
        <f>B9*100%</f>
        <v>50</v>
      </c>
      <c r="D9" s="25">
        <f>10.78%*C9</f>
        <v>5.39</v>
      </c>
      <c r="E9" s="25">
        <f>3.14%*C9</f>
        <v>1.5700000000000003</v>
      </c>
      <c r="F9" s="25">
        <f>55.9%*C9</f>
        <v>27.949999999999996</v>
      </c>
      <c r="G9" s="25">
        <f>4*(D9+F9)+9*E9</f>
        <v>147.48999999999998</v>
      </c>
    </row>
    <row r="10" spans="1:7" ht="36" x14ac:dyDescent="0.3">
      <c r="A10" s="71" t="s">
        <v>19</v>
      </c>
      <c r="B10" s="25">
        <v>5</v>
      </c>
      <c r="C10" s="25">
        <f>100%*B10</f>
        <v>5</v>
      </c>
      <c r="D10" s="25"/>
      <c r="E10" s="25">
        <f>72.57%*C10</f>
        <v>3.6284999999999994</v>
      </c>
      <c r="F10" s="25"/>
      <c r="G10" s="25">
        <f>4*(D10+F10)+9*E10</f>
        <v>32.656499999999994</v>
      </c>
    </row>
    <row r="11" spans="1:7" x14ac:dyDescent="0.3">
      <c r="A11" s="71" t="s">
        <v>39</v>
      </c>
      <c r="B11" s="25">
        <v>40</v>
      </c>
      <c r="C11" s="25">
        <f t="shared" ref="C11" si="0">100%*B11</f>
        <v>40</v>
      </c>
      <c r="D11" s="25">
        <f>6.97%*C11</f>
        <v>2.7879999999999998</v>
      </c>
      <c r="E11" s="25">
        <f>8.13%*C11</f>
        <v>3.2520000000000007</v>
      </c>
      <c r="F11" s="25">
        <f>9.8%*B11</f>
        <v>3.92</v>
      </c>
      <c r="G11" s="25">
        <f t="shared" ref="G11" si="1">4*(D11+F11)+9*E11</f>
        <v>56.100000000000009</v>
      </c>
    </row>
    <row r="12" spans="1:7" x14ac:dyDescent="0.3">
      <c r="A12" s="54" t="s">
        <v>22</v>
      </c>
      <c r="B12" s="25">
        <v>5</v>
      </c>
      <c r="C12" s="25">
        <f>100%*B12</f>
        <v>5</v>
      </c>
      <c r="D12" s="25"/>
      <c r="E12" s="25"/>
      <c r="F12" s="25">
        <f>99%*C12</f>
        <v>4.95</v>
      </c>
      <c r="G12" s="25">
        <f>4*(D12+F12)+9*E12</f>
        <v>19.8</v>
      </c>
    </row>
    <row r="13" spans="1:7" x14ac:dyDescent="0.3">
      <c r="A13" s="54" t="s">
        <v>15</v>
      </c>
      <c r="B13" s="25">
        <v>1</v>
      </c>
      <c r="C13" s="25">
        <f>100%*B13</f>
        <v>1</v>
      </c>
      <c r="D13" s="25"/>
      <c r="E13" s="25"/>
      <c r="F13" s="25"/>
      <c r="G13" s="25">
        <f>4*(D13+F13)+9*E13</f>
        <v>0</v>
      </c>
    </row>
    <row r="14" spans="1:7" s="15" customFormat="1" x14ac:dyDescent="0.2">
      <c r="A14" s="38" t="s">
        <v>16</v>
      </c>
      <c r="B14" s="115">
        <v>250</v>
      </c>
      <c r="C14" s="116"/>
      <c r="D14" s="26">
        <f t="shared" ref="D14:F14" si="2">SUM(D9:D13)</f>
        <v>8.177999999999999</v>
      </c>
      <c r="E14" s="26">
        <f t="shared" si="2"/>
        <v>8.4504999999999999</v>
      </c>
      <c r="F14" s="26">
        <f t="shared" si="2"/>
        <v>36.82</v>
      </c>
      <c r="G14" s="26">
        <f>SUM(G9:G13)</f>
        <v>256.04649999999998</v>
      </c>
    </row>
    <row r="18" spans="1:7" x14ac:dyDescent="0.3">
      <c r="A18" s="131"/>
      <c r="B18" s="131"/>
      <c r="C18" s="131"/>
      <c r="D18" s="131"/>
      <c r="E18" s="131"/>
      <c r="F18" s="131"/>
      <c r="G18" s="131"/>
    </row>
    <row r="19" spans="1:7" x14ac:dyDescent="0.3">
      <c r="A19" s="110" t="s">
        <v>107</v>
      </c>
      <c r="B19" s="110"/>
      <c r="C19" s="110"/>
      <c r="D19" s="110"/>
      <c r="E19" s="110"/>
      <c r="F19" s="110"/>
      <c r="G19" s="110"/>
    </row>
    <row r="20" spans="1:7" ht="36" x14ac:dyDescent="0.3">
      <c r="A20" s="111" t="s">
        <v>2</v>
      </c>
      <c r="B20" s="111" t="s">
        <v>3</v>
      </c>
      <c r="C20" s="111"/>
      <c r="D20" s="113" t="s">
        <v>4</v>
      </c>
      <c r="E20" s="113" t="s">
        <v>5</v>
      </c>
      <c r="F20" s="111" t="s">
        <v>6</v>
      </c>
      <c r="G20" s="34" t="s">
        <v>7</v>
      </c>
    </row>
    <row r="21" spans="1:7" x14ac:dyDescent="0.3">
      <c r="A21" s="111"/>
      <c r="B21" s="34" t="s">
        <v>8</v>
      </c>
      <c r="C21" s="34" t="s">
        <v>9</v>
      </c>
      <c r="D21" s="114"/>
      <c r="E21" s="114"/>
      <c r="F21" s="111"/>
      <c r="G21" s="34" t="s">
        <v>10</v>
      </c>
    </row>
    <row r="22" spans="1:7" x14ac:dyDescent="0.3">
      <c r="A22" s="71" t="s">
        <v>41</v>
      </c>
      <c r="B22" s="25">
        <v>50</v>
      </c>
      <c r="C22" s="25">
        <f>100%*B22</f>
        <v>50</v>
      </c>
      <c r="D22" s="25">
        <f>10%*C22</f>
        <v>5</v>
      </c>
      <c r="E22" s="25">
        <f>20%*C22</f>
        <v>10</v>
      </c>
      <c r="F22" s="25">
        <f>2.8%*C22</f>
        <v>1.4</v>
      </c>
      <c r="G22" s="25">
        <f>4*(D22+F22)+9*E22</f>
        <v>115.6</v>
      </c>
    </row>
    <row r="23" spans="1:7" x14ac:dyDescent="0.3">
      <c r="A23" s="54" t="s">
        <v>22</v>
      </c>
      <c r="B23" s="25">
        <v>10</v>
      </c>
      <c r="C23" s="25">
        <f>100%*B23</f>
        <v>10</v>
      </c>
      <c r="D23" s="25"/>
      <c r="E23" s="25"/>
      <c r="F23" s="25">
        <f>99%*C23</f>
        <v>9.9</v>
      </c>
      <c r="G23" s="25">
        <f>4*(D23+F23)+9*E23</f>
        <v>39.6</v>
      </c>
    </row>
    <row r="24" spans="1:7" x14ac:dyDescent="0.3">
      <c r="A24" s="54" t="s">
        <v>14</v>
      </c>
      <c r="B24" s="25">
        <v>5</v>
      </c>
      <c r="C24" s="25">
        <f>100%*B24</f>
        <v>5</v>
      </c>
      <c r="D24" s="25"/>
      <c r="E24" s="25">
        <f>99.9%*C24</f>
        <v>4.995000000000001</v>
      </c>
      <c r="F24" s="25"/>
      <c r="G24" s="25">
        <f>4*(D24+F24)+9*E24</f>
        <v>44.955000000000013</v>
      </c>
    </row>
    <row r="25" spans="1:7" x14ac:dyDescent="0.3">
      <c r="A25" s="71" t="s">
        <v>17</v>
      </c>
      <c r="B25" s="25">
        <v>15</v>
      </c>
      <c r="C25" s="25">
        <f>B25*100%</f>
        <v>15</v>
      </c>
      <c r="D25" s="25">
        <f>C25*10%</f>
        <v>1.5</v>
      </c>
      <c r="E25" s="25">
        <f>C25*1.3%</f>
        <v>0.19500000000000001</v>
      </c>
      <c r="F25" s="25">
        <f>C25*69%</f>
        <v>10.35</v>
      </c>
      <c r="G25" s="25">
        <f t="shared" ref="G25:G27" si="3">4*(D25+F25)+9*E25</f>
        <v>49.155000000000001</v>
      </c>
    </row>
    <row r="26" spans="1:7" x14ac:dyDescent="0.3">
      <c r="A26" s="54" t="s">
        <v>20</v>
      </c>
      <c r="B26" s="25">
        <v>0.25</v>
      </c>
      <c r="C26" s="25">
        <f>B26*48</f>
        <v>12</v>
      </c>
      <c r="D26" s="25">
        <f>12.7%*C26</f>
        <v>1.524</v>
      </c>
      <c r="E26" s="25">
        <f>11.5%*C26</f>
        <v>1.3800000000000001</v>
      </c>
      <c r="F26" s="25"/>
      <c r="G26" s="25">
        <f t="shared" si="3"/>
        <v>18.516000000000002</v>
      </c>
    </row>
    <row r="27" spans="1:7" x14ac:dyDescent="0.3">
      <c r="A27" s="54" t="s">
        <v>15</v>
      </c>
      <c r="B27" s="25">
        <v>1</v>
      </c>
      <c r="C27" s="25">
        <f>100%*B27</f>
        <v>1</v>
      </c>
      <c r="D27" s="25"/>
      <c r="E27" s="25"/>
      <c r="F27" s="25"/>
      <c r="G27" s="25">
        <f t="shared" si="3"/>
        <v>0</v>
      </c>
    </row>
    <row r="28" spans="1:7" x14ac:dyDescent="0.3">
      <c r="A28" s="54" t="s">
        <v>108</v>
      </c>
      <c r="B28" s="62">
        <v>0.05</v>
      </c>
      <c r="C28" s="63">
        <v>0.05</v>
      </c>
      <c r="D28" s="25"/>
      <c r="E28" s="25"/>
      <c r="F28" s="25"/>
      <c r="G28" s="25"/>
    </row>
    <row r="29" spans="1:7" x14ac:dyDescent="0.3">
      <c r="A29" s="71" t="s">
        <v>24</v>
      </c>
      <c r="B29" s="25">
        <v>10</v>
      </c>
      <c r="C29" s="25">
        <f>100%*B29</f>
        <v>10</v>
      </c>
      <c r="D29" s="25">
        <f>2.6%*C29</f>
        <v>0.26</v>
      </c>
      <c r="E29" s="25">
        <f>10%*C29</f>
        <v>1</v>
      </c>
      <c r="F29" s="25">
        <f>3.8%*C29</f>
        <v>0.38</v>
      </c>
      <c r="G29" s="25">
        <f>4*(D29+F29)+9*E29</f>
        <v>11.56</v>
      </c>
    </row>
    <row r="30" spans="1:7" x14ac:dyDescent="0.3">
      <c r="A30" s="38" t="s">
        <v>16</v>
      </c>
      <c r="B30" s="115">
        <v>120</v>
      </c>
      <c r="C30" s="116"/>
      <c r="D30" s="26">
        <f t="shared" ref="D30:F30" si="4">SUM(D22:D29)</f>
        <v>8.2840000000000007</v>
      </c>
      <c r="E30" s="26">
        <f t="shared" si="4"/>
        <v>17.57</v>
      </c>
      <c r="F30" s="26">
        <f t="shared" si="4"/>
        <v>22.029999999999998</v>
      </c>
      <c r="G30" s="26">
        <f>SUM(G22:G29)</f>
        <v>279.38600000000002</v>
      </c>
    </row>
    <row r="34" spans="1:7" x14ac:dyDescent="0.3">
      <c r="A34" s="110" t="s">
        <v>29</v>
      </c>
      <c r="B34" s="110"/>
      <c r="C34" s="110"/>
      <c r="D34" s="110"/>
      <c r="E34" s="110"/>
      <c r="F34" s="110"/>
      <c r="G34" s="110"/>
    </row>
    <row r="35" spans="1:7" ht="36" x14ac:dyDescent="0.3">
      <c r="A35" s="111" t="s">
        <v>2</v>
      </c>
      <c r="B35" s="111" t="s">
        <v>3</v>
      </c>
      <c r="C35" s="111"/>
      <c r="D35" s="113" t="s">
        <v>4</v>
      </c>
      <c r="E35" s="113" t="s">
        <v>5</v>
      </c>
      <c r="F35" s="111" t="s">
        <v>6</v>
      </c>
      <c r="G35" s="34" t="s">
        <v>7</v>
      </c>
    </row>
    <row r="36" spans="1:7" x14ac:dyDescent="0.3">
      <c r="A36" s="111"/>
      <c r="B36" s="34" t="s">
        <v>8</v>
      </c>
      <c r="C36" s="34" t="s">
        <v>9</v>
      </c>
      <c r="D36" s="114"/>
      <c r="E36" s="114"/>
      <c r="F36" s="111"/>
      <c r="G36" s="34" t="s">
        <v>10</v>
      </c>
    </row>
    <row r="37" spans="1:7" x14ac:dyDescent="0.3">
      <c r="A37" s="71" t="s">
        <v>29</v>
      </c>
      <c r="B37" s="25">
        <v>1</v>
      </c>
      <c r="C37" s="25">
        <f t="shared" ref="C37" si="5">100%*B37</f>
        <v>1</v>
      </c>
      <c r="D37" s="25"/>
      <c r="E37" s="25"/>
      <c r="F37" s="25"/>
      <c r="G37" s="25">
        <f t="shared" ref="G37" si="6">4*(D37+F37)+9*E37</f>
        <v>0</v>
      </c>
    </row>
    <row r="38" spans="1:7" x14ac:dyDescent="0.3">
      <c r="A38" s="54" t="s">
        <v>22</v>
      </c>
      <c r="B38" s="25">
        <v>20</v>
      </c>
      <c r="C38" s="25">
        <f>100%*B38</f>
        <v>20</v>
      </c>
      <c r="D38" s="25"/>
      <c r="E38" s="25"/>
      <c r="F38" s="25">
        <f>99%*C38</f>
        <v>19.8</v>
      </c>
      <c r="G38" s="25">
        <f>4*(D38+F38)+9*E38</f>
        <v>79.2</v>
      </c>
    </row>
    <row r="39" spans="1:7" x14ac:dyDescent="0.3">
      <c r="A39" s="38" t="s">
        <v>16</v>
      </c>
      <c r="B39" s="123">
        <v>250</v>
      </c>
      <c r="C39" s="124"/>
      <c r="D39" s="26">
        <f>SUM(D37:D38)</f>
        <v>0</v>
      </c>
      <c r="E39" s="26">
        <f>SUM(E37:E38)</f>
        <v>0</v>
      </c>
      <c r="F39" s="26">
        <f>SUM(F37:F38)</f>
        <v>19.8</v>
      </c>
      <c r="G39" s="26">
        <f>SUM(G37:G38)</f>
        <v>79.2</v>
      </c>
    </row>
    <row r="40" spans="1:7" x14ac:dyDescent="0.3">
      <c r="A40" s="71" t="s">
        <v>28</v>
      </c>
      <c r="B40" s="25">
        <v>10</v>
      </c>
      <c r="C40" s="25">
        <f>100%*B40</f>
        <v>10</v>
      </c>
      <c r="D40" s="25">
        <f>0.5%*C40</f>
        <v>0.05</v>
      </c>
      <c r="E40" s="25">
        <f>82.5%*C40</f>
        <v>8.25</v>
      </c>
      <c r="F40" s="25">
        <f>0.8%*C40</f>
        <v>0.08</v>
      </c>
      <c r="G40" s="25">
        <f>4*(D40+F40)+9*E40</f>
        <v>74.77</v>
      </c>
    </row>
    <row r="41" spans="1:7" x14ac:dyDescent="0.3">
      <c r="A41" s="71" t="s">
        <v>60</v>
      </c>
      <c r="B41" s="25">
        <v>10</v>
      </c>
      <c r="C41" s="25">
        <f t="shared" ref="C41" si="7">100%*B41</f>
        <v>10</v>
      </c>
      <c r="D41" s="25"/>
      <c r="E41" s="25"/>
      <c r="F41" s="25">
        <f>70.1%*C41</f>
        <v>7.01</v>
      </c>
      <c r="G41" s="25">
        <f>4*(D41+F41)+9*E41</f>
        <v>28.04</v>
      </c>
    </row>
    <row r="45" spans="1:7" ht="36" x14ac:dyDescent="0.3">
      <c r="A45" s="111" t="s">
        <v>2</v>
      </c>
      <c r="B45" s="111" t="s">
        <v>3</v>
      </c>
      <c r="C45" s="111"/>
      <c r="D45" s="113" t="s">
        <v>4</v>
      </c>
      <c r="E45" s="113" t="s">
        <v>5</v>
      </c>
      <c r="F45" s="111" t="s">
        <v>6</v>
      </c>
      <c r="G45" s="34" t="s">
        <v>7</v>
      </c>
    </row>
    <row r="46" spans="1:7" x14ac:dyDescent="0.3">
      <c r="A46" s="111"/>
      <c r="B46" s="34" t="s">
        <v>8</v>
      </c>
      <c r="C46" s="34" t="s">
        <v>9</v>
      </c>
      <c r="D46" s="114"/>
      <c r="E46" s="114"/>
      <c r="F46" s="111"/>
      <c r="G46" s="34" t="s">
        <v>10</v>
      </c>
    </row>
    <row r="47" spans="1:7" x14ac:dyDescent="0.3">
      <c r="A47" s="72" t="s">
        <v>59</v>
      </c>
      <c r="B47" s="25">
        <v>200</v>
      </c>
      <c r="C47" s="25">
        <f>86%*B47</f>
        <v>172</v>
      </c>
      <c r="D47" s="25"/>
      <c r="E47" s="25"/>
      <c r="F47" s="25">
        <f>12%*C47</f>
        <v>20.64</v>
      </c>
      <c r="G47" s="25">
        <f>4*(D47+F47)+9*E47</f>
        <v>82.56</v>
      </c>
    </row>
    <row r="48" spans="1:7" x14ac:dyDescent="0.3">
      <c r="A48" s="72" t="s">
        <v>13</v>
      </c>
      <c r="B48" s="25">
        <v>300</v>
      </c>
      <c r="C48" s="25">
        <f>B48*100%</f>
        <v>300</v>
      </c>
      <c r="D48" s="25">
        <f>C48*7.9%</f>
        <v>23.7</v>
      </c>
      <c r="E48" s="25">
        <f>C48*1%</f>
        <v>3</v>
      </c>
      <c r="F48" s="25">
        <f>C48*49.6%</f>
        <v>148.80000000000001</v>
      </c>
      <c r="G48" s="25">
        <f>4*(D48+F48)+9*E48</f>
        <v>717</v>
      </c>
    </row>
    <row r="49" spans="1:7" x14ac:dyDescent="0.3">
      <c r="A49" s="38" t="s">
        <v>34</v>
      </c>
      <c r="B49" s="119">
        <f>B14+B30+B39+B40+B41+B47+B48</f>
        <v>1140</v>
      </c>
      <c r="C49" s="120"/>
      <c r="D49" s="26">
        <f t="shared" ref="D49:F49" si="8">D14+D30+D39+D40+D41+D47+D48</f>
        <v>40.212000000000003</v>
      </c>
      <c r="E49" s="26">
        <f t="shared" si="8"/>
        <v>37.270499999999998</v>
      </c>
      <c r="F49" s="26">
        <f t="shared" si="8"/>
        <v>255.18</v>
      </c>
      <c r="G49" s="26">
        <f>G14+G30+G39+G40+G41+G47+G48</f>
        <v>1517.0025000000001</v>
      </c>
    </row>
    <row r="50" spans="1:7" x14ac:dyDescent="0.3">
      <c r="A50" s="87"/>
      <c r="B50" s="64"/>
      <c r="C50" s="64"/>
      <c r="D50" s="64"/>
      <c r="E50" s="64"/>
      <c r="F50" s="64"/>
      <c r="G50" s="64"/>
    </row>
    <row r="51" spans="1:7" x14ac:dyDescent="0.35">
      <c r="A51" s="69" t="s">
        <v>37</v>
      </c>
    </row>
    <row r="52" spans="1:7" x14ac:dyDescent="0.3">
      <c r="A52" s="110" t="s">
        <v>112</v>
      </c>
      <c r="B52" s="110"/>
      <c r="C52" s="110"/>
      <c r="D52" s="110"/>
      <c r="E52" s="110"/>
      <c r="F52" s="110"/>
      <c r="G52" s="110"/>
    </row>
    <row r="53" spans="1:7" ht="36" x14ac:dyDescent="0.3">
      <c r="A53" s="111" t="s">
        <v>2</v>
      </c>
      <c r="B53" s="111" t="s">
        <v>3</v>
      </c>
      <c r="C53" s="111"/>
      <c r="D53" s="113" t="s">
        <v>4</v>
      </c>
      <c r="E53" s="113" t="s">
        <v>5</v>
      </c>
      <c r="F53" s="111" t="s">
        <v>6</v>
      </c>
      <c r="G53" s="34" t="s">
        <v>7</v>
      </c>
    </row>
    <row r="54" spans="1:7" s="16" customFormat="1" x14ac:dyDescent="0.25">
      <c r="A54" s="111"/>
      <c r="B54" s="34" t="s">
        <v>8</v>
      </c>
      <c r="C54" s="34" t="s">
        <v>9</v>
      </c>
      <c r="D54" s="114"/>
      <c r="E54" s="114"/>
      <c r="F54" s="111"/>
      <c r="G54" s="34" t="s">
        <v>10</v>
      </c>
    </row>
    <row r="55" spans="1:7" x14ac:dyDescent="0.3">
      <c r="A55" s="71" t="s">
        <v>53</v>
      </c>
      <c r="B55" s="25">
        <v>38</v>
      </c>
      <c r="C55" s="25">
        <f>90%*B55</f>
        <v>34.200000000000003</v>
      </c>
      <c r="D55" s="25">
        <f>0.8%*C55</f>
        <v>0.27360000000000001</v>
      </c>
      <c r="E55" s="25"/>
      <c r="F55" s="25">
        <f>2.6%*C55</f>
        <v>0.8892000000000001</v>
      </c>
      <c r="G55" s="25">
        <f t="shared" ref="G55:G57" si="9">4*(D55+F55)+9*E55</f>
        <v>4.6512000000000002</v>
      </c>
    </row>
    <row r="56" spans="1:7" x14ac:dyDescent="0.3">
      <c r="A56" s="71" t="s">
        <v>52</v>
      </c>
      <c r="B56" s="25">
        <v>50</v>
      </c>
      <c r="C56" s="25">
        <f>90%*B56</f>
        <v>45</v>
      </c>
      <c r="D56" s="25">
        <f>1.1%*C56</f>
        <v>0.49500000000000005</v>
      </c>
      <c r="E56" s="25">
        <f>0.2%*C56</f>
        <v>0.09</v>
      </c>
      <c r="F56" s="25">
        <f>3.8%*C56</f>
        <v>1.71</v>
      </c>
      <c r="G56" s="25">
        <f t="shared" si="9"/>
        <v>9.6300000000000008</v>
      </c>
    </row>
    <row r="57" spans="1:7" x14ac:dyDescent="0.3">
      <c r="A57" s="71" t="s">
        <v>24</v>
      </c>
      <c r="B57" s="25">
        <v>20</v>
      </c>
      <c r="C57" s="25">
        <f t="shared" ref="C57" si="10">100%*B57</f>
        <v>20</v>
      </c>
      <c r="D57" s="25">
        <f>2.6%*C57</f>
        <v>0.52</v>
      </c>
      <c r="E57" s="25">
        <f>10%*C57</f>
        <v>2</v>
      </c>
      <c r="F57" s="25">
        <f>3.8%*C57</f>
        <v>0.76</v>
      </c>
      <c r="G57" s="25">
        <f t="shared" si="9"/>
        <v>23.12</v>
      </c>
    </row>
    <row r="58" spans="1:7" x14ac:dyDescent="0.3">
      <c r="A58" s="88" t="s">
        <v>58</v>
      </c>
      <c r="B58" s="25">
        <v>12.5</v>
      </c>
      <c r="C58" s="25">
        <f>B58*80%</f>
        <v>10</v>
      </c>
      <c r="D58" s="25">
        <f>1.3%*C58</f>
        <v>0.13</v>
      </c>
      <c r="E58" s="25"/>
      <c r="F58" s="25">
        <f>4.3%*C58</f>
        <v>0.42999999999999994</v>
      </c>
      <c r="G58" s="25">
        <f>4*(D58+F58)+9*E58</f>
        <v>2.2399999999999998</v>
      </c>
    </row>
    <row r="59" spans="1:7" x14ac:dyDescent="0.3">
      <c r="A59" s="54" t="s">
        <v>15</v>
      </c>
      <c r="B59" s="25">
        <v>1</v>
      </c>
      <c r="C59" s="25">
        <v>1</v>
      </c>
      <c r="D59" s="25"/>
      <c r="E59" s="25"/>
      <c r="F59" s="25"/>
      <c r="G59" s="25">
        <v>0</v>
      </c>
    </row>
    <row r="60" spans="1:7" x14ac:dyDescent="0.3">
      <c r="A60" s="38" t="s">
        <v>16</v>
      </c>
      <c r="B60" s="115">
        <v>100</v>
      </c>
      <c r="C60" s="116"/>
      <c r="D60" s="26">
        <f t="shared" ref="D60:F60" si="11">SUM(D55:D59)</f>
        <v>1.4186000000000001</v>
      </c>
      <c r="E60" s="26">
        <f t="shared" si="11"/>
        <v>2.09</v>
      </c>
      <c r="F60" s="26">
        <f t="shared" si="11"/>
        <v>3.7892000000000001</v>
      </c>
      <c r="G60" s="26">
        <f>SUM(G55:G59)</f>
        <v>39.641200000000005</v>
      </c>
    </row>
    <row r="64" spans="1:7" x14ac:dyDescent="0.3">
      <c r="A64" s="110" t="s">
        <v>111</v>
      </c>
      <c r="B64" s="110"/>
      <c r="C64" s="110"/>
      <c r="D64" s="110"/>
      <c r="E64" s="110"/>
      <c r="F64" s="110"/>
      <c r="G64" s="110"/>
    </row>
    <row r="65" spans="1:7" ht="36" x14ac:dyDescent="0.3">
      <c r="A65" s="111" t="s">
        <v>2</v>
      </c>
      <c r="B65" s="111" t="s">
        <v>3</v>
      </c>
      <c r="C65" s="111"/>
      <c r="D65" s="113" t="s">
        <v>4</v>
      </c>
      <c r="E65" s="113" t="s">
        <v>5</v>
      </c>
      <c r="F65" s="111" t="s">
        <v>6</v>
      </c>
      <c r="G65" s="34" t="s">
        <v>7</v>
      </c>
    </row>
    <row r="66" spans="1:7" x14ac:dyDescent="0.3">
      <c r="A66" s="111"/>
      <c r="B66" s="34" t="s">
        <v>8</v>
      </c>
      <c r="C66" s="34" t="s">
        <v>9</v>
      </c>
      <c r="D66" s="114"/>
      <c r="E66" s="114"/>
      <c r="F66" s="111"/>
      <c r="G66" s="34" t="s">
        <v>10</v>
      </c>
    </row>
    <row r="67" spans="1:7" x14ac:dyDescent="0.3">
      <c r="A67" s="71" t="s">
        <v>27</v>
      </c>
      <c r="B67" s="25">
        <v>30</v>
      </c>
      <c r="C67" s="25">
        <f t="shared" ref="C67" si="12">B67*100%</f>
        <v>30</v>
      </c>
      <c r="D67" s="25">
        <f>7.4%*C67</f>
        <v>2.2200000000000002</v>
      </c>
      <c r="E67" s="25">
        <f>3.14%*C67</f>
        <v>0.94200000000000017</v>
      </c>
      <c r="F67" s="25">
        <f>62.3%*C67</f>
        <v>18.690000000000001</v>
      </c>
      <c r="G67" s="25">
        <f t="shared" ref="G67" si="13">4*(D67+F67)+9*E67</f>
        <v>92.117999999999995</v>
      </c>
    </row>
    <row r="68" spans="1:7" ht="36" x14ac:dyDescent="0.3">
      <c r="A68" s="71" t="s">
        <v>30</v>
      </c>
      <c r="B68" s="25">
        <v>150</v>
      </c>
      <c r="C68" s="25">
        <f>B68*75%</f>
        <v>112.5</v>
      </c>
      <c r="D68" s="25">
        <f>18.6%*C68</f>
        <v>20.925000000000004</v>
      </c>
      <c r="E68" s="25">
        <f>17.3%*C68</f>
        <v>19.462500000000002</v>
      </c>
      <c r="F68" s="25"/>
      <c r="G68" s="25">
        <f>4*(D68+F68)+9*E68</f>
        <v>258.86250000000007</v>
      </c>
    </row>
    <row r="69" spans="1:7" x14ac:dyDescent="0.3">
      <c r="A69" s="71" t="s">
        <v>54</v>
      </c>
      <c r="B69" s="25">
        <v>0.5</v>
      </c>
      <c r="C69" s="25">
        <f t="shared" ref="C69" si="14">100%*B69</f>
        <v>0.5</v>
      </c>
      <c r="D69" s="25"/>
      <c r="E69" s="25"/>
      <c r="F69" s="25"/>
      <c r="G69" s="25">
        <f t="shared" ref="G69" si="15">4*(D69+F69)+9*E69</f>
        <v>0</v>
      </c>
    </row>
    <row r="70" spans="1:7" x14ac:dyDescent="0.3">
      <c r="A70" s="54" t="s">
        <v>43</v>
      </c>
      <c r="B70" s="25">
        <v>10</v>
      </c>
      <c r="C70" s="25">
        <f>90%*B70</f>
        <v>9</v>
      </c>
      <c r="D70" s="25">
        <f>1.58%*C70</f>
        <v>0.14220000000000002</v>
      </c>
      <c r="E70" s="25"/>
      <c r="F70" s="25">
        <f>9.5%*C70</f>
        <v>0.85499999999999998</v>
      </c>
      <c r="G70" s="25">
        <f>4*(D70+F70)+9*E70</f>
        <v>3.9887999999999999</v>
      </c>
    </row>
    <row r="71" spans="1:7" x14ac:dyDescent="0.3">
      <c r="A71" s="54" t="s">
        <v>42</v>
      </c>
      <c r="B71" s="25">
        <v>7</v>
      </c>
      <c r="C71" s="25">
        <f>85%*B71</f>
        <v>5.95</v>
      </c>
      <c r="D71" s="25"/>
      <c r="E71" s="25"/>
      <c r="F71" s="25"/>
      <c r="G71" s="25">
        <f>4*(D71+F71)+9*E71</f>
        <v>0</v>
      </c>
    </row>
    <row r="72" spans="1:7" x14ac:dyDescent="0.3">
      <c r="A72" s="71" t="s">
        <v>14</v>
      </c>
      <c r="B72" s="25">
        <v>5</v>
      </c>
      <c r="C72" s="25">
        <f>100%*B72</f>
        <v>5</v>
      </c>
      <c r="D72" s="25"/>
      <c r="E72" s="25">
        <f>99.9%*C72</f>
        <v>4.995000000000001</v>
      </c>
      <c r="F72" s="25"/>
      <c r="G72" s="25">
        <f>4*(D72+F72)+9*E72</f>
        <v>44.955000000000013</v>
      </c>
    </row>
    <row r="73" spans="1:7" x14ac:dyDescent="0.3">
      <c r="A73" s="54" t="s">
        <v>15</v>
      </c>
      <c r="B73" s="25">
        <v>1</v>
      </c>
      <c r="C73" s="25">
        <f>100%*B73</f>
        <v>1</v>
      </c>
      <c r="D73" s="25"/>
      <c r="E73" s="25"/>
      <c r="F73" s="25"/>
      <c r="G73" s="25">
        <f>4*(D73+F73)+9*E73</f>
        <v>0</v>
      </c>
    </row>
    <row r="74" spans="1:7" x14ac:dyDescent="0.3">
      <c r="A74" s="38" t="s">
        <v>16</v>
      </c>
      <c r="B74" s="115">
        <v>450</v>
      </c>
      <c r="C74" s="116"/>
      <c r="D74" s="26">
        <f t="shared" ref="D74:F74" si="16">SUM(D67:D73)</f>
        <v>23.287200000000002</v>
      </c>
      <c r="E74" s="26">
        <f t="shared" si="16"/>
        <v>25.399500000000003</v>
      </c>
      <c r="F74" s="26">
        <f t="shared" si="16"/>
        <v>19.545000000000002</v>
      </c>
      <c r="G74" s="26">
        <f>SUM(G67:G73)</f>
        <v>399.92430000000013</v>
      </c>
    </row>
    <row r="76" spans="1:7" x14ac:dyDescent="0.3">
      <c r="A76" s="97" t="s">
        <v>113</v>
      </c>
      <c r="B76" s="97"/>
      <c r="C76" s="97"/>
      <c r="D76" s="97"/>
      <c r="E76" s="97"/>
      <c r="F76" s="97"/>
      <c r="G76" s="97"/>
    </row>
    <row r="77" spans="1:7" ht="36" x14ac:dyDescent="0.3">
      <c r="A77" s="98" t="s">
        <v>2</v>
      </c>
      <c r="B77" s="98" t="s">
        <v>3</v>
      </c>
      <c r="C77" s="98"/>
      <c r="D77" s="99" t="s">
        <v>4</v>
      </c>
      <c r="E77" s="99" t="s">
        <v>5</v>
      </c>
      <c r="F77" s="98" t="s">
        <v>6</v>
      </c>
      <c r="G77" s="35" t="s">
        <v>7</v>
      </c>
    </row>
    <row r="78" spans="1:7" x14ac:dyDescent="0.3">
      <c r="A78" s="98"/>
      <c r="B78" s="35" t="s">
        <v>8</v>
      </c>
      <c r="C78" s="35" t="s">
        <v>9</v>
      </c>
      <c r="D78" s="100"/>
      <c r="E78" s="100"/>
      <c r="F78" s="98"/>
      <c r="G78" s="35" t="s">
        <v>10</v>
      </c>
    </row>
    <row r="79" spans="1:7" x14ac:dyDescent="0.3">
      <c r="A79" s="70" t="s">
        <v>32</v>
      </c>
      <c r="B79" s="27">
        <v>150</v>
      </c>
      <c r="C79" s="27">
        <f>B79*72%</f>
        <v>108</v>
      </c>
      <c r="D79" s="27">
        <f>18.5%*C79</f>
        <v>19.98</v>
      </c>
      <c r="E79" s="27">
        <f>15.9%*C79</f>
        <v>17.172000000000001</v>
      </c>
      <c r="F79" s="27"/>
      <c r="G79" s="27">
        <f t="shared" ref="G79:G84" si="17">4*(D79+F79)+9*E79</f>
        <v>234.46800000000002</v>
      </c>
    </row>
    <row r="80" spans="1:7" x14ac:dyDescent="0.3">
      <c r="A80" s="71" t="s">
        <v>52</v>
      </c>
      <c r="B80" s="25">
        <v>60</v>
      </c>
      <c r="C80" s="25">
        <f>90%*B80</f>
        <v>54</v>
      </c>
      <c r="D80" s="25">
        <f>1.1%*C80</f>
        <v>0.59400000000000008</v>
      </c>
      <c r="E80" s="25">
        <f>0.2%*C80</f>
        <v>0.108</v>
      </c>
      <c r="F80" s="25">
        <f>3.8%*C80</f>
        <v>2.052</v>
      </c>
      <c r="G80" s="25">
        <f t="shared" si="17"/>
        <v>11.555999999999999</v>
      </c>
    </row>
    <row r="81" spans="1:7" x14ac:dyDescent="0.3">
      <c r="A81" s="70" t="s">
        <v>42</v>
      </c>
      <c r="B81" s="27">
        <v>14</v>
      </c>
      <c r="C81" s="27">
        <f>85%*B81</f>
        <v>11.9</v>
      </c>
      <c r="D81" s="27"/>
      <c r="E81" s="27"/>
      <c r="F81" s="27"/>
      <c r="G81" s="27">
        <f t="shared" si="17"/>
        <v>0</v>
      </c>
    </row>
    <row r="82" spans="1:7" x14ac:dyDescent="0.3">
      <c r="A82" s="41" t="s">
        <v>43</v>
      </c>
      <c r="B82" s="27">
        <v>10</v>
      </c>
      <c r="C82" s="27">
        <f>90%*B82</f>
        <v>9</v>
      </c>
      <c r="D82" s="27">
        <f>1.58%*C82</f>
        <v>0.14220000000000002</v>
      </c>
      <c r="E82" s="27"/>
      <c r="F82" s="27">
        <f>9.5%*C82</f>
        <v>0.85499999999999998</v>
      </c>
      <c r="G82" s="27">
        <f t="shared" si="17"/>
        <v>3.9887999999999999</v>
      </c>
    </row>
    <row r="83" spans="1:7" s="16" customFormat="1" ht="36" x14ac:dyDescent="0.25">
      <c r="A83" s="70" t="s">
        <v>19</v>
      </c>
      <c r="B83" s="27">
        <v>7</v>
      </c>
      <c r="C83" s="27">
        <f>100%*B83</f>
        <v>7</v>
      </c>
      <c r="D83" s="27"/>
      <c r="E83" s="27">
        <f>72.57%*C83</f>
        <v>5.0798999999999994</v>
      </c>
      <c r="F83" s="27"/>
      <c r="G83" s="27">
        <f>4*(D83+F83)+9*E83</f>
        <v>45.719099999999997</v>
      </c>
    </row>
    <row r="84" spans="1:7" x14ac:dyDescent="0.3">
      <c r="A84" s="41" t="s">
        <v>15</v>
      </c>
      <c r="B84" s="27">
        <v>1</v>
      </c>
      <c r="C84" s="27">
        <f>100%*B84</f>
        <v>1</v>
      </c>
      <c r="D84" s="27"/>
      <c r="E84" s="27"/>
      <c r="F84" s="27"/>
      <c r="G84" s="27">
        <f t="shared" si="17"/>
        <v>0</v>
      </c>
    </row>
    <row r="85" spans="1:7" x14ac:dyDescent="0.3">
      <c r="A85" s="37" t="s">
        <v>16</v>
      </c>
      <c r="B85" s="93">
        <v>200</v>
      </c>
      <c r="C85" s="94"/>
      <c r="D85" s="28">
        <f>SUM(D79:D84)</f>
        <v>20.716200000000001</v>
      </c>
      <c r="E85" s="28">
        <f>SUM(E79:E84)</f>
        <v>22.3599</v>
      </c>
      <c r="F85" s="28">
        <f>SUM(F79:F84)</f>
        <v>2.907</v>
      </c>
      <c r="G85" s="28">
        <f>SUM(G79:G84)</f>
        <v>295.7319</v>
      </c>
    </row>
    <row r="90" spans="1:7" x14ac:dyDescent="0.3">
      <c r="A90" s="110" t="s">
        <v>109</v>
      </c>
      <c r="B90" s="110"/>
      <c r="C90" s="110"/>
      <c r="D90" s="110"/>
      <c r="E90" s="110"/>
      <c r="F90" s="110"/>
      <c r="G90" s="110"/>
    </row>
    <row r="91" spans="1:7" s="17" customFormat="1" ht="36" x14ac:dyDescent="0.3">
      <c r="A91" s="111" t="s">
        <v>2</v>
      </c>
      <c r="B91" s="111" t="s">
        <v>3</v>
      </c>
      <c r="C91" s="111"/>
      <c r="D91" s="113" t="s">
        <v>4</v>
      </c>
      <c r="E91" s="113" t="s">
        <v>5</v>
      </c>
      <c r="F91" s="111" t="s">
        <v>6</v>
      </c>
      <c r="G91" s="34" t="s">
        <v>7</v>
      </c>
    </row>
    <row r="92" spans="1:7" x14ac:dyDescent="0.3">
      <c r="A92" s="111"/>
      <c r="B92" s="34" t="s">
        <v>8</v>
      </c>
      <c r="C92" s="34" t="s">
        <v>9</v>
      </c>
      <c r="D92" s="114"/>
      <c r="E92" s="114"/>
      <c r="F92" s="111"/>
      <c r="G92" s="34" t="s">
        <v>10</v>
      </c>
    </row>
    <row r="93" spans="1:7" x14ac:dyDescent="0.3">
      <c r="A93" s="54" t="s">
        <v>46</v>
      </c>
      <c r="B93" s="25">
        <v>220</v>
      </c>
      <c r="C93" s="25">
        <f>72%*B93</f>
        <v>158.4</v>
      </c>
      <c r="D93" s="25">
        <f>2.1%*C93</f>
        <v>3.3264000000000005</v>
      </c>
      <c r="E93" s="25">
        <f>0.4%*C93</f>
        <v>0.63360000000000005</v>
      </c>
      <c r="F93" s="25">
        <f>15.6%*C93</f>
        <v>24.7104</v>
      </c>
      <c r="G93" s="25">
        <f>4*(D93+F93)+9*E93</f>
        <v>117.8496</v>
      </c>
    </row>
    <row r="94" spans="1:7" x14ac:dyDescent="0.3">
      <c r="A94" s="71" t="s">
        <v>39</v>
      </c>
      <c r="B94" s="25">
        <v>20</v>
      </c>
      <c r="C94" s="25">
        <f t="shared" ref="C94" si="18">100%*B94</f>
        <v>20</v>
      </c>
      <c r="D94" s="25">
        <f>6.97%*C94</f>
        <v>1.3939999999999999</v>
      </c>
      <c r="E94" s="25">
        <f>8.13%*C94</f>
        <v>1.6260000000000003</v>
      </c>
      <c r="F94" s="25">
        <f>9.8%*B94</f>
        <v>1.96</v>
      </c>
      <c r="G94" s="25">
        <f t="shared" ref="G94" si="19">4*(D94+F94)+9*E94</f>
        <v>28.050000000000004</v>
      </c>
    </row>
    <row r="95" spans="1:7" ht="36" x14ac:dyDescent="0.3">
      <c r="A95" s="71" t="s">
        <v>19</v>
      </c>
      <c r="B95" s="25">
        <v>5</v>
      </c>
      <c r="C95" s="25">
        <f>100%*B95</f>
        <v>5</v>
      </c>
      <c r="D95" s="25"/>
      <c r="E95" s="25">
        <f>72.57%*C95</f>
        <v>3.6284999999999994</v>
      </c>
      <c r="F95" s="25"/>
      <c r="G95" s="25">
        <f>4*(D95+F95)+9*E95</f>
        <v>32.656499999999994</v>
      </c>
    </row>
    <row r="96" spans="1:7" x14ac:dyDescent="0.3">
      <c r="A96" s="54" t="s">
        <v>15</v>
      </c>
      <c r="B96" s="25">
        <v>2</v>
      </c>
      <c r="C96" s="25">
        <f>100%*B96</f>
        <v>2</v>
      </c>
      <c r="D96" s="25"/>
      <c r="E96" s="25"/>
      <c r="F96" s="25"/>
      <c r="G96" s="25">
        <f>4*(D96+F96)+9*E96</f>
        <v>0</v>
      </c>
    </row>
    <row r="97" spans="1:7" x14ac:dyDescent="0.3">
      <c r="A97" s="38" t="s">
        <v>16</v>
      </c>
      <c r="B97" s="115">
        <v>200</v>
      </c>
      <c r="C97" s="116"/>
      <c r="D97" s="26">
        <f>SUM(D93:D96)</f>
        <v>4.7204000000000006</v>
      </c>
      <c r="E97" s="26">
        <f>SUM(E93:E96)</f>
        <v>5.8880999999999997</v>
      </c>
      <c r="F97" s="26">
        <f>SUM(F93:F96)</f>
        <v>26.670400000000001</v>
      </c>
      <c r="G97" s="26">
        <f>SUM(G93:G96)</f>
        <v>178.55609999999999</v>
      </c>
    </row>
    <row r="98" spans="1:7" s="17" customFormat="1" x14ac:dyDescent="0.3">
      <c r="A98" s="72" t="s">
        <v>13</v>
      </c>
      <c r="B98" s="26">
        <v>400</v>
      </c>
      <c r="C98" s="26">
        <f>B98*100%</f>
        <v>400</v>
      </c>
      <c r="D98" s="26">
        <f>C98*7.9%</f>
        <v>31.6</v>
      </c>
      <c r="E98" s="26">
        <f>C98*1%</f>
        <v>4</v>
      </c>
      <c r="F98" s="26">
        <f>C98*49.6%</f>
        <v>198.4</v>
      </c>
      <c r="G98" s="26">
        <f>4*(D98+F98)+9*E98</f>
        <v>956</v>
      </c>
    </row>
    <row r="102" spans="1:7" x14ac:dyDescent="0.3">
      <c r="A102" s="89" t="s">
        <v>110</v>
      </c>
      <c r="B102" s="58"/>
      <c r="C102" s="58"/>
      <c r="D102" s="58"/>
      <c r="E102" s="58"/>
      <c r="F102" s="58"/>
      <c r="G102" s="58"/>
    </row>
    <row r="103" spans="1:7" ht="36" x14ac:dyDescent="0.3">
      <c r="A103" s="111" t="s">
        <v>2</v>
      </c>
      <c r="B103" s="111" t="s">
        <v>3</v>
      </c>
      <c r="C103" s="111"/>
      <c r="D103" s="113" t="s">
        <v>4</v>
      </c>
      <c r="E103" s="113" t="s">
        <v>5</v>
      </c>
      <c r="F103" s="111" t="s">
        <v>6</v>
      </c>
      <c r="G103" s="34" t="s">
        <v>7</v>
      </c>
    </row>
    <row r="104" spans="1:7" x14ac:dyDescent="0.3">
      <c r="A104" s="111"/>
      <c r="B104" s="34" t="s">
        <v>8</v>
      </c>
      <c r="C104" s="34" t="s">
        <v>9</v>
      </c>
      <c r="D104" s="114"/>
      <c r="E104" s="114"/>
      <c r="F104" s="111"/>
      <c r="G104" s="34" t="s">
        <v>10</v>
      </c>
    </row>
    <row r="105" spans="1:7" s="17" customFormat="1" x14ac:dyDescent="0.3">
      <c r="A105" s="72" t="s">
        <v>64</v>
      </c>
      <c r="B105" s="26">
        <v>200</v>
      </c>
      <c r="C105" s="26">
        <f>100%*B105</f>
        <v>200</v>
      </c>
      <c r="D105" s="26">
        <f>0.66%*C105</f>
        <v>1.32</v>
      </c>
      <c r="E105" s="26"/>
      <c r="F105" s="26">
        <f>17.3%*C105</f>
        <v>34.6</v>
      </c>
      <c r="G105" s="26">
        <f>4*(D105+F105)+9*E105</f>
        <v>143.68</v>
      </c>
    </row>
    <row r="106" spans="1:7" x14ac:dyDescent="0.3">
      <c r="A106" s="38" t="s">
        <v>61</v>
      </c>
      <c r="B106" s="117">
        <f>B60+B74+B85+B97+B98+B105</f>
        <v>1550</v>
      </c>
      <c r="C106" s="118"/>
      <c r="D106" s="26">
        <f t="shared" ref="D106:F106" si="20">D60+D74+D85+D97+D98+D105</f>
        <v>83.062399999999997</v>
      </c>
      <c r="E106" s="26">
        <f t="shared" si="20"/>
        <v>59.737500000000004</v>
      </c>
      <c r="F106" s="26">
        <f t="shared" si="20"/>
        <v>285.91160000000002</v>
      </c>
      <c r="G106" s="26">
        <f>G60+G74+G85+G97+G98+G105</f>
        <v>2013.5335000000002</v>
      </c>
    </row>
    <row r="110" spans="1:7" x14ac:dyDescent="0.35">
      <c r="A110" s="69" t="s">
        <v>63</v>
      </c>
    </row>
    <row r="111" spans="1:7" ht="24.75" customHeight="1" x14ac:dyDescent="0.3">
      <c r="A111" s="132" t="s">
        <v>114</v>
      </c>
      <c r="B111" s="132"/>
      <c r="C111" s="132"/>
      <c r="D111" s="58"/>
      <c r="E111" s="58"/>
      <c r="F111" s="58"/>
      <c r="G111" s="58"/>
    </row>
    <row r="112" spans="1:7" ht="36" x14ac:dyDescent="0.3">
      <c r="A112" s="111" t="s">
        <v>2</v>
      </c>
      <c r="B112" s="111" t="s">
        <v>3</v>
      </c>
      <c r="C112" s="111"/>
      <c r="D112" s="113" t="s">
        <v>4</v>
      </c>
      <c r="E112" s="113" t="s">
        <v>5</v>
      </c>
      <c r="F112" s="111" t="s">
        <v>6</v>
      </c>
      <c r="G112" s="34" t="s">
        <v>7</v>
      </c>
    </row>
    <row r="113" spans="1:7" x14ac:dyDescent="0.3">
      <c r="A113" s="111"/>
      <c r="B113" s="34" t="s">
        <v>8</v>
      </c>
      <c r="C113" s="34" t="s">
        <v>9</v>
      </c>
      <c r="D113" s="114"/>
      <c r="E113" s="114"/>
      <c r="F113" s="111"/>
      <c r="G113" s="34" t="s">
        <v>10</v>
      </c>
    </row>
    <row r="114" spans="1:7" ht="36" x14ac:dyDescent="0.3">
      <c r="A114" s="54" t="s">
        <v>30</v>
      </c>
      <c r="B114" s="25">
        <v>95</v>
      </c>
      <c r="C114" s="25">
        <f>B114*75%</f>
        <v>71.25</v>
      </c>
      <c r="D114" s="25">
        <f>18.6%*C114</f>
        <v>13.252500000000001</v>
      </c>
      <c r="E114" s="25">
        <f>17.3%*C114</f>
        <v>12.326250000000002</v>
      </c>
      <c r="F114" s="25"/>
      <c r="G114" s="25">
        <f t="shared" ref="G114:G121" si="21">4*(D114+F114)+9*E114</f>
        <v>163.94625000000002</v>
      </c>
    </row>
    <row r="115" spans="1:7" x14ac:dyDescent="0.3">
      <c r="A115" s="54" t="s">
        <v>13</v>
      </c>
      <c r="B115" s="25">
        <v>18</v>
      </c>
      <c r="C115" s="25">
        <f>B115*100%</f>
        <v>18</v>
      </c>
      <c r="D115" s="25">
        <f>C115*7.9%</f>
        <v>1.4219999999999999</v>
      </c>
      <c r="E115" s="25">
        <f>C115*1%</f>
        <v>0.18</v>
      </c>
      <c r="F115" s="25">
        <f>C115*49.6%</f>
        <v>8.9280000000000008</v>
      </c>
      <c r="G115" s="25">
        <f>4*(D115+F115)+9*E115</f>
        <v>43.02</v>
      </c>
    </row>
    <row r="116" spans="1:7" x14ac:dyDescent="0.3">
      <c r="A116" s="54" t="s">
        <v>17</v>
      </c>
      <c r="B116" s="25">
        <v>5</v>
      </c>
      <c r="C116" s="25">
        <f>B116*100%</f>
        <v>5</v>
      </c>
      <c r="D116" s="25">
        <f>C116*10%</f>
        <v>0.5</v>
      </c>
      <c r="E116" s="25">
        <f>C116*1.3%</f>
        <v>6.5000000000000002E-2</v>
      </c>
      <c r="F116" s="25">
        <f>C116*69%</f>
        <v>3.4499999999999997</v>
      </c>
      <c r="G116" s="25">
        <f t="shared" ref="G116" si="22">4*(D116+F116)+9*E116</f>
        <v>16.384999999999998</v>
      </c>
    </row>
    <row r="117" spans="1:7" ht="36" x14ac:dyDescent="0.3">
      <c r="A117" s="54" t="s">
        <v>19</v>
      </c>
      <c r="B117" s="25">
        <v>5</v>
      </c>
      <c r="C117" s="25">
        <f>100%*B117</f>
        <v>5</v>
      </c>
      <c r="D117" s="25"/>
      <c r="E117" s="25">
        <f>72.57%*C117</f>
        <v>3.6284999999999994</v>
      </c>
      <c r="F117" s="25"/>
      <c r="G117" s="25">
        <f>4*(D117+F117)+9*E117</f>
        <v>32.656499999999994</v>
      </c>
    </row>
    <row r="118" spans="1:7" x14ac:dyDescent="0.3">
      <c r="A118" s="54" t="s">
        <v>43</v>
      </c>
      <c r="B118" s="25">
        <v>12</v>
      </c>
      <c r="C118" s="25">
        <f>90%*B118</f>
        <v>10.8</v>
      </c>
      <c r="D118" s="25">
        <f>1.58%*C118</f>
        <v>0.17064000000000004</v>
      </c>
      <c r="E118" s="25"/>
      <c r="F118" s="25">
        <f>9.5%*C118</f>
        <v>1.026</v>
      </c>
      <c r="G118" s="25">
        <f t="shared" ref="G118" si="23">4*(D118+F118)+9*E118</f>
        <v>4.7865600000000006</v>
      </c>
    </row>
    <row r="119" spans="1:7" x14ac:dyDescent="0.3">
      <c r="A119" s="54" t="s">
        <v>42</v>
      </c>
      <c r="B119" s="25">
        <v>7</v>
      </c>
      <c r="C119" s="25">
        <f>85%*B119</f>
        <v>5.95</v>
      </c>
      <c r="D119" s="25"/>
      <c r="E119" s="25"/>
      <c r="F119" s="25"/>
      <c r="G119" s="25">
        <f>4*(D119+F119)+9*E119</f>
        <v>0</v>
      </c>
    </row>
    <row r="120" spans="1:7" x14ac:dyDescent="0.3">
      <c r="A120" s="54" t="s">
        <v>15</v>
      </c>
      <c r="B120" s="25">
        <v>1.5</v>
      </c>
      <c r="C120" s="25">
        <f>100%*B120</f>
        <v>1.5</v>
      </c>
      <c r="D120" s="25"/>
      <c r="E120" s="25"/>
      <c r="F120" s="25"/>
      <c r="G120" s="25">
        <f t="shared" si="21"/>
        <v>0</v>
      </c>
    </row>
    <row r="121" spans="1:7" x14ac:dyDescent="0.3">
      <c r="A121" s="54" t="s">
        <v>24</v>
      </c>
      <c r="B121" s="25">
        <v>10</v>
      </c>
      <c r="C121" s="25">
        <f t="shared" ref="C121" si="24">100%*B121</f>
        <v>10</v>
      </c>
      <c r="D121" s="25">
        <f>2.6%*C121</f>
        <v>0.26</v>
      </c>
      <c r="E121" s="25">
        <f>10%*C121</f>
        <v>1</v>
      </c>
      <c r="F121" s="25">
        <f>3.8%*C121</f>
        <v>0.38</v>
      </c>
      <c r="G121" s="25">
        <f t="shared" si="21"/>
        <v>11.56</v>
      </c>
    </row>
    <row r="122" spans="1:7" x14ac:dyDescent="0.3">
      <c r="A122" s="38" t="s">
        <v>16</v>
      </c>
      <c r="B122" s="115">
        <v>120</v>
      </c>
      <c r="C122" s="116"/>
      <c r="D122" s="26">
        <f>SUM(D114:D121)</f>
        <v>15.605140000000002</v>
      </c>
      <c r="E122" s="26">
        <f>SUM(E114:E121)</f>
        <v>17.199750000000002</v>
      </c>
      <c r="F122" s="26">
        <f>SUM(F114:F121)</f>
        <v>13.784000000000001</v>
      </c>
      <c r="G122" s="26">
        <f>SUM(G114:G121)</f>
        <v>272.35431</v>
      </c>
    </row>
    <row r="127" spans="1:7" ht="36" x14ac:dyDescent="0.3">
      <c r="A127" s="89" t="s">
        <v>136</v>
      </c>
      <c r="B127" s="58"/>
      <c r="C127" s="58"/>
      <c r="D127" s="58"/>
      <c r="E127" s="58"/>
      <c r="F127" s="58"/>
      <c r="G127" s="58"/>
    </row>
    <row r="128" spans="1:7" ht="36" x14ac:dyDescent="0.3">
      <c r="A128" s="111" t="s">
        <v>2</v>
      </c>
      <c r="B128" s="111" t="s">
        <v>3</v>
      </c>
      <c r="C128" s="111"/>
      <c r="D128" s="113" t="s">
        <v>4</v>
      </c>
      <c r="E128" s="113" t="s">
        <v>5</v>
      </c>
      <c r="F128" s="111" t="s">
        <v>6</v>
      </c>
      <c r="G128" s="34" t="s">
        <v>7</v>
      </c>
    </row>
    <row r="129" spans="1:7" x14ac:dyDescent="0.3">
      <c r="A129" s="111"/>
      <c r="B129" s="34" t="s">
        <v>8</v>
      </c>
      <c r="C129" s="34" t="s">
        <v>9</v>
      </c>
      <c r="D129" s="114"/>
      <c r="E129" s="114"/>
      <c r="F129" s="111"/>
      <c r="G129" s="34" t="s">
        <v>10</v>
      </c>
    </row>
    <row r="130" spans="1:7" ht="18.75" customHeight="1" x14ac:dyDescent="0.3">
      <c r="A130" s="71" t="s">
        <v>48</v>
      </c>
      <c r="B130" s="25">
        <v>100</v>
      </c>
      <c r="C130" s="25">
        <f>75%*B130</f>
        <v>75</v>
      </c>
      <c r="D130" s="25">
        <f>1.87%*C130</f>
        <v>1.4025000000000001</v>
      </c>
      <c r="E130" s="25"/>
      <c r="F130" s="25">
        <f>4.15%*C130</f>
        <v>3.1125000000000003</v>
      </c>
      <c r="G130" s="25">
        <f>4*(D130+F130)+9*E130</f>
        <v>18.060000000000002</v>
      </c>
    </row>
    <row r="131" spans="1:7" x14ac:dyDescent="0.3">
      <c r="A131" s="71" t="s">
        <v>20</v>
      </c>
      <c r="B131" s="25">
        <v>0.25</v>
      </c>
      <c r="C131" s="25">
        <f>B131*48</f>
        <v>12</v>
      </c>
      <c r="D131" s="25">
        <f>12.7%*C131</f>
        <v>1.524</v>
      </c>
      <c r="E131" s="25">
        <f>11.5%*C131</f>
        <v>1.3800000000000001</v>
      </c>
      <c r="F131" s="25"/>
      <c r="G131" s="25">
        <f t="shared" ref="G131:G132" si="25">4*(D131+F131)+9*E131</f>
        <v>18.516000000000002</v>
      </c>
    </row>
    <row r="132" spans="1:7" x14ac:dyDescent="0.3">
      <c r="A132" s="71" t="s">
        <v>18</v>
      </c>
      <c r="B132" s="25">
        <v>5</v>
      </c>
      <c r="C132" s="25">
        <f t="shared" ref="C132" si="26">B132*100%</f>
        <v>5</v>
      </c>
      <c r="D132" s="25">
        <f>C132*8%</f>
        <v>0.4</v>
      </c>
      <c r="E132" s="25">
        <f>C132*1%</f>
        <v>0.05</v>
      </c>
      <c r="F132" s="25">
        <f>C132*50%</f>
        <v>2.5</v>
      </c>
      <c r="G132" s="25">
        <f t="shared" si="25"/>
        <v>12.049999999999999</v>
      </c>
    </row>
    <row r="133" spans="1:7" x14ac:dyDescent="0.3">
      <c r="A133" s="54" t="s">
        <v>14</v>
      </c>
      <c r="B133" s="25">
        <v>7</v>
      </c>
      <c r="C133" s="25">
        <f>100%*B133</f>
        <v>7</v>
      </c>
      <c r="D133" s="25"/>
      <c r="E133" s="25">
        <f>99.9%*C133</f>
        <v>6.9930000000000003</v>
      </c>
      <c r="F133" s="25"/>
      <c r="G133" s="25">
        <f t="shared" ref="G133:G134" si="27">4*(D133+F133)+9*E133</f>
        <v>62.937000000000005</v>
      </c>
    </row>
    <row r="134" spans="1:7" x14ac:dyDescent="0.3">
      <c r="A134" s="54" t="s">
        <v>15</v>
      </c>
      <c r="B134" s="25">
        <v>1</v>
      </c>
      <c r="C134" s="25">
        <f>100%*B134</f>
        <v>1</v>
      </c>
      <c r="D134" s="25"/>
      <c r="E134" s="25"/>
      <c r="F134" s="25"/>
      <c r="G134" s="25">
        <f t="shared" si="27"/>
        <v>0</v>
      </c>
    </row>
    <row r="135" spans="1:7" x14ac:dyDescent="0.3">
      <c r="A135" s="38" t="s">
        <v>16</v>
      </c>
      <c r="B135" s="115">
        <v>80</v>
      </c>
      <c r="C135" s="116"/>
      <c r="D135" s="26">
        <f>SUM(D130:D134)</f>
        <v>3.3264999999999998</v>
      </c>
      <c r="E135" s="26">
        <f>SUM(E130:E134)</f>
        <v>8.423</v>
      </c>
      <c r="F135" s="26">
        <f>SUM(F130:F134)</f>
        <v>5.6125000000000007</v>
      </c>
      <c r="G135" s="26">
        <f>SUM(G130:G134)</f>
        <v>111.56300000000002</v>
      </c>
    </row>
    <row r="138" spans="1:7" x14ac:dyDescent="0.3">
      <c r="A138" s="89" t="s">
        <v>29</v>
      </c>
      <c r="B138" s="58"/>
      <c r="C138" s="58"/>
      <c r="D138" s="58"/>
      <c r="E138" s="58"/>
      <c r="F138" s="58"/>
      <c r="G138" s="58"/>
    </row>
    <row r="139" spans="1:7" ht="36" x14ac:dyDescent="0.3">
      <c r="A139" s="111" t="s">
        <v>2</v>
      </c>
      <c r="B139" s="111" t="s">
        <v>3</v>
      </c>
      <c r="C139" s="111"/>
      <c r="D139" s="113" t="s">
        <v>4</v>
      </c>
      <c r="E139" s="113" t="s">
        <v>5</v>
      </c>
      <c r="F139" s="111" t="s">
        <v>6</v>
      </c>
      <c r="G139" s="34" t="s">
        <v>7</v>
      </c>
    </row>
    <row r="140" spans="1:7" x14ac:dyDescent="0.3">
      <c r="A140" s="111"/>
      <c r="B140" s="34" t="s">
        <v>8</v>
      </c>
      <c r="C140" s="34" t="s">
        <v>9</v>
      </c>
      <c r="D140" s="114"/>
      <c r="E140" s="114"/>
      <c r="F140" s="111"/>
      <c r="G140" s="34" t="s">
        <v>10</v>
      </c>
    </row>
    <row r="141" spans="1:7" x14ac:dyDescent="0.3">
      <c r="A141" s="54" t="s">
        <v>29</v>
      </c>
      <c r="B141" s="25">
        <v>1</v>
      </c>
      <c r="C141" s="25">
        <f>100%*B141</f>
        <v>1</v>
      </c>
      <c r="D141" s="25"/>
      <c r="E141" s="25"/>
      <c r="F141" s="25"/>
      <c r="G141" s="25">
        <f>4*(D141+F141)+9*E141</f>
        <v>0</v>
      </c>
    </row>
    <row r="142" spans="1:7" s="19" customFormat="1" x14ac:dyDescent="0.2">
      <c r="A142" s="54" t="s">
        <v>22</v>
      </c>
      <c r="B142" s="25">
        <v>20</v>
      </c>
      <c r="C142" s="25">
        <f>100%*B142</f>
        <v>20</v>
      </c>
      <c r="D142" s="25"/>
      <c r="E142" s="25"/>
      <c r="F142" s="25">
        <f>99%*C142</f>
        <v>19.8</v>
      </c>
      <c r="G142" s="25">
        <f>4*(D142+F142)+9*E142</f>
        <v>79.2</v>
      </c>
    </row>
    <row r="143" spans="1:7" x14ac:dyDescent="0.3">
      <c r="A143" s="57" t="s">
        <v>16</v>
      </c>
      <c r="B143" s="123">
        <v>250</v>
      </c>
      <c r="C143" s="124"/>
      <c r="D143" s="26">
        <f>SUM(D141:D142)</f>
        <v>0</v>
      </c>
      <c r="E143" s="26">
        <f>SUM(E141:E142)</f>
        <v>0</v>
      </c>
      <c r="F143" s="26">
        <f>SUM(F141:F142)</f>
        <v>19.8</v>
      </c>
      <c r="G143" s="26">
        <f>SUM(G141:G142)</f>
        <v>79.2</v>
      </c>
    </row>
    <row r="144" spans="1:7" x14ac:dyDescent="0.3">
      <c r="A144" s="57" t="s">
        <v>13</v>
      </c>
      <c r="B144" s="26">
        <v>200</v>
      </c>
      <c r="C144" s="26">
        <f>B144*100%</f>
        <v>200</v>
      </c>
      <c r="D144" s="26">
        <f>C144*7.9%</f>
        <v>15.8</v>
      </c>
      <c r="E144" s="26">
        <f>C144*1%</f>
        <v>2</v>
      </c>
      <c r="F144" s="26">
        <f>C144*49.6%</f>
        <v>99.2</v>
      </c>
      <c r="G144" s="26">
        <f>4*(D144+F144)+9*E144</f>
        <v>478</v>
      </c>
    </row>
    <row r="145" spans="1:7" x14ac:dyDescent="0.3">
      <c r="A145" s="38" t="s">
        <v>67</v>
      </c>
      <c r="B145" s="119">
        <f>B122+B135+B143+B144</f>
        <v>650</v>
      </c>
      <c r="C145" s="120"/>
      <c r="D145" s="26">
        <f>D122+D135+D143+D144</f>
        <v>34.731639999999999</v>
      </c>
      <c r="E145" s="26">
        <f>E122+E135+E143+E144</f>
        <v>27.622750000000003</v>
      </c>
      <c r="F145" s="26">
        <f>F122+F135+F143+F144</f>
        <v>138.3965</v>
      </c>
      <c r="G145" s="26">
        <f>G122+G135+G143+G144</f>
        <v>941.11731000000009</v>
      </c>
    </row>
    <row r="148" spans="1:7" x14ac:dyDescent="0.3">
      <c r="A148" s="53" t="s">
        <v>68</v>
      </c>
      <c r="B148" s="129">
        <f>B49+B106+B145</f>
        <v>3340</v>
      </c>
      <c r="C148" s="129"/>
      <c r="D148" s="31">
        <f t="shared" ref="D148:F148" si="28">D49+D106+D145</f>
        <v>158.00603999999998</v>
      </c>
      <c r="E148" s="31">
        <f t="shared" si="28"/>
        <v>124.63075000000001</v>
      </c>
      <c r="F148" s="31">
        <f t="shared" si="28"/>
        <v>679.48810000000003</v>
      </c>
      <c r="G148" s="31">
        <f>G49+G106+G145</f>
        <v>4471.6533099999997</v>
      </c>
    </row>
    <row r="151" spans="1:7" x14ac:dyDescent="0.35">
      <c r="A151" s="69" t="s">
        <v>78</v>
      </c>
      <c r="G151" s="33">
        <f>G49/G148</f>
        <v>0.33924868383859574</v>
      </c>
    </row>
    <row r="152" spans="1:7" x14ac:dyDescent="0.35">
      <c r="A152" s="69" t="s">
        <v>79</v>
      </c>
      <c r="G152" s="33">
        <f>G106/G148</f>
        <v>0.45028837443571856</v>
      </c>
    </row>
    <row r="153" spans="1:7" x14ac:dyDescent="0.35">
      <c r="A153" s="69" t="s">
        <v>80</v>
      </c>
      <c r="G153" s="33">
        <f>G145/G148</f>
        <v>0.21046294172568583</v>
      </c>
    </row>
  </sheetData>
  <mergeCells count="86">
    <mergeCell ref="A1:G1"/>
    <mergeCell ref="B143:C143"/>
    <mergeCell ref="B148:C148"/>
    <mergeCell ref="B145:C145"/>
    <mergeCell ref="B135:C135"/>
    <mergeCell ref="A139:A140"/>
    <mergeCell ref="B139:C139"/>
    <mergeCell ref="D139:D140"/>
    <mergeCell ref="E139:E140"/>
    <mergeCell ref="F139:F140"/>
    <mergeCell ref="E112:E113"/>
    <mergeCell ref="F112:F113"/>
    <mergeCell ref="A128:A129"/>
    <mergeCell ref="B128:C128"/>
    <mergeCell ref="D128:D129"/>
    <mergeCell ref="E128:E129"/>
    <mergeCell ref="F128:F129"/>
    <mergeCell ref="B122:C122"/>
    <mergeCell ref="A103:A104"/>
    <mergeCell ref="B103:C103"/>
    <mergeCell ref="D103:D104"/>
    <mergeCell ref="E103:E104"/>
    <mergeCell ref="A112:A113"/>
    <mergeCell ref="B112:C112"/>
    <mergeCell ref="D112:D113"/>
    <mergeCell ref="A111:C111"/>
    <mergeCell ref="F103:F104"/>
    <mergeCell ref="B106:C106"/>
    <mergeCell ref="A76:G76"/>
    <mergeCell ref="A77:A78"/>
    <mergeCell ref="B77:C77"/>
    <mergeCell ref="D77:D78"/>
    <mergeCell ref="E77:E78"/>
    <mergeCell ref="F77:F78"/>
    <mergeCell ref="B85:C85"/>
    <mergeCell ref="B97:C97"/>
    <mergeCell ref="B74:C74"/>
    <mergeCell ref="A90:G90"/>
    <mergeCell ref="A91:A92"/>
    <mergeCell ref="B91:C91"/>
    <mergeCell ref="D91:D92"/>
    <mergeCell ref="E91:E92"/>
    <mergeCell ref="F91:F92"/>
    <mergeCell ref="B60:C60"/>
    <mergeCell ref="A64:G64"/>
    <mergeCell ref="A65:A66"/>
    <mergeCell ref="B65:C65"/>
    <mergeCell ref="D65:D66"/>
    <mergeCell ref="E65:E66"/>
    <mergeCell ref="F65:F66"/>
    <mergeCell ref="B49:C49"/>
    <mergeCell ref="A52:G52"/>
    <mergeCell ref="A53:A54"/>
    <mergeCell ref="B53:C53"/>
    <mergeCell ref="D53:D54"/>
    <mergeCell ref="E53:E54"/>
    <mergeCell ref="F53:F54"/>
    <mergeCell ref="B30:C30"/>
    <mergeCell ref="A45:A46"/>
    <mergeCell ref="B45:C45"/>
    <mergeCell ref="D45:D46"/>
    <mergeCell ref="E45:E46"/>
    <mergeCell ref="A34:G34"/>
    <mergeCell ref="A35:A36"/>
    <mergeCell ref="B35:C35"/>
    <mergeCell ref="D35:D36"/>
    <mergeCell ref="E35:E36"/>
    <mergeCell ref="F35:F36"/>
    <mergeCell ref="B39:C39"/>
    <mergeCell ref="F45:F46"/>
    <mergeCell ref="A19:G19"/>
    <mergeCell ref="A20:A21"/>
    <mergeCell ref="B20:C20"/>
    <mergeCell ref="D20:D21"/>
    <mergeCell ref="E20:E21"/>
    <mergeCell ref="F20:F21"/>
    <mergeCell ref="A18:G18"/>
    <mergeCell ref="A2:G3"/>
    <mergeCell ref="A4:G4"/>
    <mergeCell ref="A6:G6"/>
    <mergeCell ref="A7:A8"/>
    <mergeCell ref="B7:C7"/>
    <mergeCell ref="D7:D8"/>
    <mergeCell ref="E7:E8"/>
    <mergeCell ref="F7:F8"/>
    <mergeCell ref="B14:C14"/>
  </mergeCells>
  <pageMargins left="0.2" right="0.2" top="0.41" bottom="1" header="0.5" footer="0.5"/>
  <pageSetup paperSize="9" scale="78" orientation="portrait" r:id="rId1"/>
  <headerFooter alignWithMargins="0"/>
  <rowBreaks count="2" manualBreakCount="2">
    <brk id="60" max="6" man="1"/>
    <brk id="107" max="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"/>
  <sheetViews>
    <sheetView view="pageBreakPreview" zoomScaleNormal="100" zoomScaleSheetLayoutView="100" workbookViewId="0">
      <selection activeCell="A2" sqref="A2:G3"/>
    </sheetView>
  </sheetViews>
  <sheetFormatPr defaultRowHeight="18" x14ac:dyDescent="0.35"/>
  <cols>
    <col min="1" max="1" width="34.85546875" style="74" bestFit="1" customWidth="1"/>
    <col min="2" max="2" width="12" style="39" customWidth="1"/>
    <col min="3" max="3" width="12.5703125" style="39" customWidth="1"/>
    <col min="4" max="4" width="12.28515625" style="39" customWidth="1"/>
    <col min="5" max="5" width="11.28515625" style="39" customWidth="1"/>
    <col min="6" max="6" width="16.140625" style="39" customWidth="1"/>
    <col min="7" max="7" width="20.42578125" style="39" customWidth="1"/>
    <col min="8" max="235" width="9.140625" style="1"/>
    <col min="236" max="236" width="34.85546875" style="1" bestFit="1" customWidth="1"/>
    <col min="237" max="237" width="12" style="1" customWidth="1"/>
    <col min="238" max="238" width="12.5703125" style="1" customWidth="1"/>
    <col min="239" max="239" width="12.28515625" style="1" customWidth="1"/>
    <col min="240" max="240" width="11.28515625" style="1" customWidth="1"/>
    <col min="241" max="241" width="16.140625" style="1" customWidth="1"/>
    <col min="242" max="242" width="20.42578125" style="1" customWidth="1"/>
    <col min="243" max="491" width="9.140625" style="1"/>
    <col min="492" max="492" width="34.85546875" style="1" bestFit="1" customWidth="1"/>
    <col min="493" max="493" width="12" style="1" customWidth="1"/>
    <col min="494" max="494" width="12.5703125" style="1" customWidth="1"/>
    <col min="495" max="495" width="12.28515625" style="1" customWidth="1"/>
    <col min="496" max="496" width="11.28515625" style="1" customWidth="1"/>
    <col min="497" max="497" width="16.140625" style="1" customWidth="1"/>
    <col min="498" max="498" width="20.42578125" style="1" customWidth="1"/>
    <col min="499" max="747" width="9.140625" style="1"/>
    <col min="748" max="748" width="34.85546875" style="1" bestFit="1" customWidth="1"/>
    <col min="749" max="749" width="12" style="1" customWidth="1"/>
    <col min="750" max="750" width="12.5703125" style="1" customWidth="1"/>
    <col min="751" max="751" width="12.28515625" style="1" customWidth="1"/>
    <col min="752" max="752" width="11.28515625" style="1" customWidth="1"/>
    <col min="753" max="753" width="16.140625" style="1" customWidth="1"/>
    <col min="754" max="754" width="20.42578125" style="1" customWidth="1"/>
    <col min="755" max="1003" width="9.140625" style="1"/>
    <col min="1004" max="1004" width="34.85546875" style="1" bestFit="1" customWidth="1"/>
    <col min="1005" max="1005" width="12" style="1" customWidth="1"/>
    <col min="1006" max="1006" width="12.5703125" style="1" customWidth="1"/>
    <col min="1007" max="1007" width="12.28515625" style="1" customWidth="1"/>
    <col min="1008" max="1008" width="11.28515625" style="1" customWidth="1"/>
    <col min="1009" max="1009" width="16.140625" style="1" customWidth="1"/>
    <col min="1010" max="1010" width="20.42578125" style="1" customWidth="1"/>
    <col min="1011" max="1259" width="9.140625" style="1"/>
    <col min="1260" max="1260" width="34.85546875" style="1" bestFit="1" customWidth="1"/>
    <col min="1261" max="1261" width="12" style="1" customWidth="1"/>
    <col min="1262" max="1262" width="12.5703125" style="1" customWidth="1"/>
    <col min="1263" max="1263" width="12.28515625" style="1" customWidth="1"/>
    <col min="1264" max="1264" width="11.28515625" style="1" customWidth="1"/>
    <col min="1265" max="1265" width="16.140625" style="1" customWidth="1"/>
    <col min="1266" max="1266" width="20.42578125" style="1" customWidth="1"/>
    <col min="1267" max="1515" width="9.140625" style="1"/>
    <col min="1516" max="1516" width="34.85546875" style="1" bestFit="1" customWidth="1"/>
    <col min="1517" max="1517" width="12" style="1" customWidth="1"/>
    <col min="1518" max="1518" width="12.5703125" style="1" customWidth="1"/>
    <col min="1519" max="1519" width="12.28515625" style="1" customWidth="1"/>
    <col min="1520" max="1520" width="11.28515625" style="1" customWidth="1"/>
    <col min="1521" max="1521" width="16.140625" style="1" customWidth="1"/>
    <col min="1522" max="1522" width="20.42578125" style="1" customWidth="1"/>
    <col min="1523" max="1771" width="9.140625" style="1"/>
    <col min="1772" max="1772" width="34.85546875" style="1" bestFit="1" customWidth="1"/>
    <col min="1773" max="1773" width="12" style="1" customWidth="1"/>
    <col min="1774" max="1774" width="12.5703125" style="1" customWidth="1"/>
    <col min="1775" max="1775" width="12.28515625" style="1" customWidth="1"/>
    <col min="1776" max="1776" width="11.28515625" style="1" customWidth="1"/>
    <col min="1777" max="1777" width="16.140625" style="1" customWidth="1"/>
    <col min="1778" max="1778" width="20.42578125" style="1" customWidth="1"/>
    <col min="1779" max="2027" width="9.140625" style="1"/>
    <col min="2028" max="2028" width="34.85546875" style="1" bestFit="1" customWidth="1"/>
    <col min="2029" max="2029" width="12" style="1" customWidth="1"/>
    <col min="2030" max="2030" width="12.5703125" style="1" customWidth="1"/>
    <col min="2031" max="2031" width="12.28515625" style="1" customWidth="1"/>
    <col min="2032" max="2032" width="11.28515625" style="1" customWidth="1"/>
    <col min="2033" max="2033" width="16.140625" style="1" customWidth="1"/>
    <col min="2034" max="2034" width="20.42578125" style="1" customWidth="1"/>
    <col min="2035" max="2283" width="9.140625" style="1"/>
    <col min="2284" max="2284" width="34.85546875" style="1" bestFit="1" customWidth="1"/>
    <col min="2285" max="2285" width="12" style="1" customWidth="1"/>
    <col min="2286" max="2286" width="12.5703125" style="1" customWidth="1"/>
    <col min="2287" max="2287" width="12.28515625" style="1" customWidth="1"/>
    <col min="2288" max="2288" width="11.28515625" style="1" customWidth="1"/>
    <col min="2289" max="2289" width="16.140625" style="1" customWidth="1"/>
    <col min="2290" max="2290" width="20.42578125" style="1" customWidth="1"/>
    <col min="2291" max="2539" width="9.140625" style="1"/>
    <col min="2540" max="2540" width="34.85546875" style="1" bestFit="1" customWidth="1"/>
    <col min="2541" max="2541" width="12" style="1" customWidth="1"/>
    <col min="2542" max="2542" width="12.5703125" style="1" customWidth="1"/>
    <col min="2543" max="2543" width="12.28515625" style="1" customWidth="1"/>
    <col min="2544" max="2544" width="11.28515625" style="1" customWidth="1"/>
    <col min="2545" max="2545" width="16.140625" style="1" customWidth="1"/>
    <col min="2546" max="2546" width="20.42578125" style="1" customWidth="1"/>
    <col min="2547" max="2795" width="9.140625" style="1"/>
    <col min="2796" max="2796" width="34.85546875" style="1" bestFit="1" customWidth="1"/>
    <col min="2797" max="2797" width="12" style="1" customWidth="1"/>
    <col min="2798" max="2798" width="12.5703125" style="1" customWidth="1"/>
    <col min="2799" max="2799" width="12.28515625" style="1" customWidth="1"/>
    <col min="2800" max="2800" width="11.28515625" style="1" customWidth="1"/>
    <col min="2801" max="2801" width="16.140625" style="1" customWidth="1"/>
    <col min="2802" max="2802" width="20.42578125" style="1" customWidth="1"/>
    <col min="2803" max="3051" width="9.140625" style="1"/>
    <col min="3052" max="3052" width="34.85546875" style="1" bestFit="1" customWidth="1"/>
    <col min="3053" max="3053" width="12" style="1" customWidth="1"/>
    <col min="3054" max="3054" width="12.5703125" style="1" customWidth="1"/>
    <col min="3055" max="3055" width="12.28515625" style="1" customWidth="1"/>
    <col min="3056" max="3056" width="11.28515625" style="1" customWidth="1"/>
    <col min="3057" max="3057" width="16.140625" style="1" customWidth="1"/>
    <col min="3058" max="3058" width="20.42578125" style="1" customWidth="1"/>
    <col min="3059" max="3307" width="9.140625" style="1"/>
    <col min="3308" max="3308" width="34.85546875" style="1" bestFit="1" customWidth="1"/>
    <col min="3309" max="3309" width="12" style="1" customWidth="1"/>
    <col min="3310" max="3310" width="12.5703125" style="1" customWidth="1"/>
    <col min="3311" max="3311" width="12.28515625" style="1" customWidth="1"/>
    <col min="3312" max="3312" width="11.28515625" style="1" customWidth="1"/>
    <col min="3313" max="3313" width="16.140625" style="1" customWidth="1"/>
    <col min="3314" max="3314" width="20.42578125" style="1" customWidth="1"/>
    <col min="3315" max="3563" width="9.140625" style="1"/>
    <col min="3564" max="3564" width="34.85546875" style="1" bestFit="1" customWidth="1"/>
    <col min="3565" max="3565" width="12" style="1" customWidth="1"/>
    <col min="3566" max="3566" width="12.5703125" style="1" customWidth="1"/>
    <col min="3567" max="3567" width="12.28515625" style="1" customWidth="1"/>
    <col min="3568" max="3568" width="11.28515625" style="1" customWidth="1"/>
    <col min="3569" max="3569" width="16.140625" style="1" customWidth="1"/>
    <col min="3570" max="3570" width="20.42578125" style="1" customWidth="1"/>
    <col min="3571" max="3819" width="9.140625" style="1"/>
    <col min="3820" max="3820" width="34.85546875" style="1" bestFit="1" customWidth="1"/>
    <col min="3821" max="3821" width="12" style="1" customWidth="1"/>
    <col min="3822" max="3822" width="12.5703125" style="1" customWidth="1"/>
    <col min="3823" max="3823" width="12.28515625" style="1" customWidth="1"/>
    <col min="3824" max="3824" width="11.28515625" style="1" customWidth="1"/>
    <col min="3825" max="3825" width="16.140625" style="1" customWidth="1"/>
    <col min="3826" max="3826" width="20.42578125" style="1" customWidth="1"/>
    <col min="3827" max="4075" width="9.140625" style="1"/>
    <col min="4076" max="4076" width="34.85546875" style="1" bestFit="1" customWidth="1"/>
    <col min="4077" max="4077" width="12" style="1" customWidth="1"/>
    <col min="4078" max="4078" width="12.5703125" style="1" customWidth="1"/>
    <col min="4079" max="4079" width="12.28515625" style="1" customWidth="1"/>
    <col min="4080" max="4080" width="11.28515625" style="1" customWidth="1"/>
    <col min="4081" max="4081" width="16.140625" style="1" customWidth="1"/>
    <col min="4082" max="4082" width="20.42578125" style="1" customWidth="1"/>
    <col min="4083" max="4331" width="9.140625" style="1"/>
    <col min="4332" max="4332" width="34.85546875" style="1" bestFit="1" customWidth="1"/>
    <col min="4333" max="4333" width="12" style="1" customWidth="1"/>
    <col min="4334" max="4334" width="12.5703125" style="1" customWidth="1"/>
    <col min="4335" max="4335" width="12.28515625" style="1" customWidth="1"/>
    <col min="4336" max="4336" width="11.28515625" style="1" customWidth="1"/>
    <col min="4337" max="4337" width="16.140625" style="1" customWidth="1"/>
    <col min="4338" max="4338" width="20.42578125" style="1" customWidth="1"/>
    <col min="4339" max="4587" width="9.140625" style="1"/>
    <col min="4588" max="4588" width="34.85546875" style="1" bestFit="1" customWidth="1"/>
    <col min="4589" max="4589" width="12" style="1" customWidth="1"/>
    <col min="4590" max="4590" width="12.5703125" style="1" customWidth="1"/>
    <col min="4591" max="4591" width="12.28515625" style="1" customWidth="1"/>
    <col min="4592" max="4592" width="11.28515625" style="1" customWidth="1"/>
    <col min="4593" max="4593" width="16.140625" style="1" customWidth="1"/>
    <col min="4594" max="4594" width="20.42578125" style="1" customWidth="1"/>
    <col min="4595" max="4843" width="9.140625" style="1"/>
    <col min="4844" max="4844" width="34.85546875" style="1" bestFit="1" customWidth="1"/>
    <col min="4845" max="4845" width="12" style="1" customWidth="1"/>
    <col min="4846" max="4846" width="12.5703125" style="1" customWidth="1"/>
    <col min="4847" max="4847" width="12.28515625" style="1" customWidth="1"/>
    <col min="4848" max="4848" width="11.28515625" style="1" customWidth="1"/>
    <col min="4849" max="4849" width="16.140625" style="1" customWidth="1"/>
    <col min="4850" max="4850" width="20.42578125" style="1" customWidth="1"/>
    <col min="4851" max="5099" width="9.140625" style="1"/>
    <col min="5100" max="5100" width="34.85546875" style="1" bestFit="1" customWidth="1"/>
    <col min="5101" max="5101" width="12" style="1" customWidth="1"/>
    <col min="5102" max="5102" width="12.5703125" style="1" customWidth="1"/>
    <col min="5103" max="5103" width="12.28515625" style="1" customWidth="1"/>
    <col min="5104" max="5104" width="11.28515625" style="1" customWidth="1"/>
    <col min="5105" max="5105" width="16.140625" style="1" customWidth="1"/>
    <col min="5106" max="5106" width="20.42578125" style="1" customWidth="1"/>
    <col min="5107" max="5355" width="9.140625" style="1"/>
    <col min="5356" max="5356" width="34.85546875" style="1" bestFit="1" customWidth="1"/>
    <col min="5357" max="5357" width="12" style="1" customWidth="1"/>
    <col min="5358" max="5358" width="12.5703125" style="1" customWidth="1"/>
    <col min="5359" max="5359" width="12.28515625" style="1" customWidth="1"/>
    <col min="5360" max="5360" width="11.28515625" style="1" customWidth="1"/>
    <col min="5361" max="5361" width="16.140625" style="1" customWidth="1"/>
    <col min="5362" max="5362" width="20.42578125" style="1" customWidth="1"/>
    <col min="5363" max="5611" width="9.140625" style="1"/>
    <col min="5612" max="5612" width="34.85546875" style="1" bestFit="1" customWidth="1"/>
    <col min="5613" max="5613" width="12" style="1" customWidth="1"/>
    <col min="5614" max="5614" width="12.5703125" style="1" customWidth="1"/>
    <col min="5615" max="5615" width="12.28515625" style="1" customWidth="1"/>
    <col min="5616" max="5616" width="11.28515625" style="1" customWidth="1"/>
    <col min="5617" max="5617" width="16.140625" style="1" customWidth="1"/>
    <col min="5618" max="5618" width="20.42578125" style="1" customWidth="1"/>
    <col min="5619" max="5867" width="9.140625" style="1"/>
    <col min="5868" max="5868" width="34.85546875" style="1" bestFit="1" customWidth="1"/>
    <col min="5869" max="5869" width="12" style="1" customWidth="1"/>
    <col min="5870" max="5870" width="12.5703125" style="1" customWidth="1"/>
    <col min="5871" max="5871" width="12.28515625" style="1" customWidth="1"/>
    <col min="5872" max="5872" width="11.28515625" style="1" customWidth="1"/>
    <col min="5873" max="5873" width="16.140625" style="1" customWidth="1"/>
    <col min="5874" max="5874" width="20.42578125" style="1" customWidth="1"/>
    <col min="5875" max="6123" width="9.140625" style="1"/>
    <col min="6124" max="6124" width="34.85546875" style="1" bestFit="1" customWidth="1"/>
    <col min="6125" max="6125" width="12" style="1" customWidth="1"/>
    <col min="6126" max="6126" width="12.5703125" style="1" customWidth="1"/>
    <col min="6127" max="6127" width="12.28515625" style="1" customWidth="1"/>
    <col min="6128" max="6128" width="11.28515625" style="1" customWidth="1"/>
    <col min="6129" max="6129" width="16.140625" style="1" customWidth="1"/>
    <col min="6130" max="6130" width="20.42578125" style="1" customWidth="1"/>
    <col min="6131" max="6379" width="9.140625" style="1"/>
    <col min="6380" max="6380" width="34.85546875" style="1" bestFit="1" customWidth="1"/>
    <col min="6381" max="6381" width="12" style="1" customWidth="1"/>
    <col min="6382" max="6382" width="12.5703125" style="1" customWidth="1"/>
    <col min="6383" max="6383" width="12.28515625" style="1" customWidth="1"/>
    <col min="6384" max="6384" width="11.28515625" style="1" customWidth="1"/>
    <col min="6385" max="6385" width="16.140625" style="1" customWidth="1"/>
    <col min="6386" max="6386" width="20.42578125" style="1" customWidth="1"/>
    <col min="6387" max="6635" width="9.140625" style="1"/>
    <col min="6636" max="6636" width="34.85546875" style="1" bestFit="1" customWidth="1"/>
    <col min="6637" max="6637" width="12" style="1" customWidth="1"/>
    <col min="6638" max="6638" width="12.5703125" style="1" customWidth="1"/>
    <col min="6639" max="6639" width="12.28515625" style="1" customWidth="1"/>
    <col min="6640" max="6640" width="11.28515625" style="1" customWidth="1"/>
    <col min="6641" max="6641" width="16.140625" style="1" customWidth="1"/>
    <col min="6642" max="6642" width="20.42578125" style="1" customWidth="1"/>
    <col min="6643" max="6891" width="9.140625" style="1"/>
    <col min="6892" max="6892" width="34.85546875" style="1" bestFit="1" customWidth="1"/>
    <col min="6893" max="6893" width="12" style="1" customWidth="1"/>
    <col min="6894" max="6894" width="12.5703125" style="1" customWidth="1"/>
    <col min="6895" max="6895" width="12.28515625" style="1" customWidth="1"/>
    <col min="6896" max="6896" width="11.28515625" style="1" customWidth="1"/>
    <col min="6897" max="6897" width="16.140625" style="1" customWidth="1"/>
    <col min="6898" max="6898" width="20.42578125" style="1" customWidth="1"/>
    <col min="6899" max="7147" width="9.140625" style="1"/>
    <col min="7148" max="7148" width="34.85546875" style="1" bestFit="1" customWidth="1"/>
    <col min="7149" max="7149" width="12" style="1" customWidth="1"/>
    <col min="7150" max="7150" width="12.5703125" style="1" customWidth="1"/>
    <col min="7151" max="7151" width="12.28515625" style="1" customWidth="1"/>
    <col min="7152" max="7152" width="11.28515625" style="1" customWidth="1"/>
    <col min="7153" max="7153" width="16.140625" style="1" customWidth="1"/>
    <col min="7154" max="7154" width="20.42578125" style="1" customWidth="1"/>
    <col min="7155" max="7403" width="9.140625" style="1"/>
    <col min="7404" max="7404" width="34.85546875" style="1" bestFit="1" customWidth="1"/>
    <col min="7405" max="7405" width="12" style="1" customWidth="1"/>
    <col min="7406" max="7406" width="12.5703125" style="1" customWidth="1"/>
    <col min="7407" max="7407" width="12.28515625" style="1" customWidth="1"/>
    <col min="7408" max="7408" width="11.28515625" style="1" customWidth="1"/>
    <col min="7409" max="7409" width="16.140625" style="1" customWidth="1"/>
    <col min="7410" max="7410" width="20.42578125" style="1" customWidth="1"/>
    <col min="7411" max="7659" width="9.140625" style="1"/>
    <col min="7660" max="7660" width="34.85546875" style="1" bestFit="1" customWidth="1"/>
    <col min="7661" max="7661" width="12" style="1" customWidth="1"/>
    <col min="7662" max="7662" width="12.5703125" style="1" customWidth="1"/>
    <col min="7663" max="7663" width="12.28515625" style="1" customWidth="1"/>
    <col min="7664" max="7664" width="11.28515625" style="1" customWidth="1"/>
    <col min="7665" max="7665" width="16.140625" style="1" customWidth="1"/>
    <col min="7666" max="7666" width="20.42578125" style="1" customWidth="1"/>
    <col min="7667" max="7915" width="9.140625" style="1"/>
    <col min="7916" max="7916" width="34.85546875" style="1" bestFit="1" customWidth="1"/>
    <col min="7917" max="7917" width="12" style="1" customWidth="1"/>
    <col min="7918" max="7918" width="12.5703125" style="1" customWidth="1"/>
    <col min="7919" max="7919" width="12.28515625" style="1" customWidth="1"/>
    <col min="7920" max="7920" width="11.28515625" style="1" customWidth="1"/>
    <col min="7921" max="7921" width="16.140625" style="1" customWidth="1"/>
    <col min="7922" max="7922" width="20.42578125" style="1" customWidth="1"/>
    <col min="7923" max="8171" width="9.140625" style="1"/>
    <col min="8172" max="8172" width="34.85546875" style="1" bestFit="1" customWidth="1"/>
    <col min="8173" max="8173" width="12" style="1" customWidth="1"/>
    <col min="8174" max="8174" width="12.5703125" style="1" customWidth="1"/>
    <col min="8175" max="8175" width="12.28515625" style="1" customWidth="1"/>
    <col min="8176" max="8176" width="11.28515625" style="1" customWidth="1"/>
    <col min="8177" max="8177" width="16.140625" style="1" customWidth="1"/>
    <col min="8178" max="8178" width="20.42578125" style="1" customWidth="1"/>
    <col min="8179" max="8427" width="9.140625" style="1"/>
    <col min="8428" max="8428" width="34.85546875" style="1" bestFit="1" customWidth="1"/>
    <col min="8429" max="8429" width="12" style="1" customWidth="1"/>
    <col min="8430" max="8430" width="12.5703125" style="1" customWidth="1"/>
    <col min="8431" max="8431" width="12.28515625" style="1" customWidth="1"/>
    <col min="8432" max="8432" width="11.28515625" style="1" customWidth="1"/>
    <col min="8433" max="8433" width="16.140625" style="1" customWidth="1"/>
    <col min="8434" max="8434" width="20.42578125" style="1" customWidth="1"/>
    <col min="8435" max="8683" width="9.140625" style="1"/>
    <col min="8684" max="8684" width="34.85546875" style="1" bestFit="1" customWidth="1"/>
    <col min="8685" max="8685" width="12" style="1" customWidth="1"/>
    <col min="8686" max="8686" width="12.5703125" style="1" customWidth="1"/>
    <col min="8687" max="8687" width="12.28515625" style="1" customWidth="1"/>
    <col min="8688" max="8688" width="11.28515625" style="1" customWidth="1"/>
    <col min="8689" max="8689" width="16.140625" style="1" customWidth="1"/>
    <col min="8690" max="8690" width="20.42578125" style="1" customWidth="1"/>
    <col min="8691" max="8939" width="9.140625" style="1"/>
    <col min="8940" max="8940" width="34.85546875" style="1" bestFit="1" customWidth="1"/>
    <col min="8941" max="8941" width="12" style="1" customWidth="1"/>
    <col min="8942" max="8942" width="12.5703125" style="1" customWidth="1"/>
    <col min="8943" max="8943" width="12.28515625" style="1" customWidth="1"/>
    <col min="8944" max="8944" width="11.28515625" style="1" customWidth="1"/>
    <col min="8945" max="8945" width="16.140625" style="1" customWidth="1"/>
    <col min="8946" max="8946" width="20.42578125" style="1" customWidth="1"/>
    <col min="8947" max="9195" width="9.140625" style="1"/>
    <col min="9196" max="9196" width="34.85546875" style="1" bestFit="1" customWidth="1"/>
    <col min="9197" max="9197" width="12" style="1" customWidth="1"/>
    <col min="9198" max="9198" width="12.5703125" style="1" customWidth="1"/>
    <col min="9199" max="9199" width="12.28515625" style="1" customWidth="1"/>
    <col min="9200" max="9200" width="11.28515625" style="1" customWidth="1"/>
    <col min="9201" max="9201" width="16.140625" style="1" customWidth="1"/>
    <col min="9202" max="9202" width="20.42578125" style="1" customWidth="1"/>
    <col min="9203" max="9451" width="9.140625" style="1"/>
    <col min="9452" max="9452" width="34.85546875" style="1" bestFit="1" customWidth="1"/>
    <col min="9453" max="9453" width="12" style="1" customWidth="1"/>
    <col min="9454" max="9454" width="12.5703125" style="1" customWidth="1"/>
    <col min="9455" max="9455" width="12.28515625" style="1" customWidth="1"/>
    <col min="9456" max="9456" width="11.28515625" style="1" customWidth="1"/>
    <col min="9457" max="9457" width="16.140625" style="1" customWidth="1"/>
    <col min="9458" max="9458" width="20.42578125" style="1" customWidth="1"/>
    <col min="9459" max="9707" width="9.140625" style="1"/>
    <col min="9708" max="9708" width="34.85546875" style="1" bestFit="1" customWidth="1"/>
    <col min="9709" max="9709" width="12" style="1" customWidth="1"/>
    <col min="9710" max="9710" width="12.5703125" style="1" customWidth="1"/>
    <col min="9711" max="9711" width="12.28515625" style="1" customWidth="1"/>
    <col min="9712" max="9712" width="11.28515625" style="1" customWidth="1"/>
    <col min="9713" max="9713" width="16.140625" style="1" customWidth="1"/>
    <col min="9714" max="9714" width="20.42578125" style="1" customWidth="1"/>
    <col min="9715" max="9963" width="9.140625" style="1"/>
    <col min="9964" max="9964" width="34.85546875" style="1" bestFit="1" customWidth="1"/>
    <col min="9965" max="9965" width="12" style="1" customWidth="1"/>
    <col min="9966" max="9966" width="12.5703125" style="1" customWidth="1"/>
    <col min="9967" max="9967" width="12.28515625" style="1" customWidth="1"/>
    <col min="9968" max="9968" width="11.28515625" style="1" customWidth="1"/>
    <col min="9969" max="9969" width="16.140625" style="1" customWidth="1"/>
    <col min="9970" max="9970" width="20.42578125" style="1" customWidth="1"/>
    <col min="9971" max="10219" width="9.140625" style="1"/>
    <col min="10220" max="10220" width="34.85546875" style="1" bestFit="1" customWidth="1"/>
    <col min="10221" max="10221" width="12" style="1" customWidth="1"/>
    <col min="10222" max="10222" width="12.5703125" style="1" customWidth="1"/>
    <col min="10223" max="10223" width="12.28515625" style="1" customWidth="1"/>
    <col min="10224" max="10224" width="11.28515625" style="1" customWidth="1"/>
    <col min="10225" max="10225" width="16.140625" style="1" customWidth="1"/>
    <col min="10226" max="10226" width="20.42578125" style="1" customWidth="1"/>
    <col min="10227" max="10475" width="9.140625" style="1"/>
    <col min="10476" max="10476" width="34.85546875" style="1" bestFit="1" customWidth="1"/>
    <col min="10477" max="10477" width="12" style="1" customWidth="1"/>
    <col min="10478" max="10478" width="12.5703125" style="1" customWidth="1"/>
    <col min="10479" max="10479" width="12.28515625" style="1" customWidth="1"/>
    <col min="10480" max="10480" width="11.28515625" style="1" customWidth="1"/>
    <col min="10481" max="10481" width="16.140625" style="1" customWidth="1"/>
    <col min="10482" max="10482" width="20.42578125" style="1" customWidth="1"/>
    <col min="10483" max="10731" width="9.140625" style="1"/>
    <col min="10732" max="10732" width="34.85546875" style="1" bestFit="1" customWidth="1"/>
    <col min="10733" max="10733" width="12" style="1" customWidth="1"/>
    <col min="10734" max="10734" width="12.5703125" style="1" customWidth="1"/>
    <col min="10735" max="10735" width="12.28515625" style="1" customWidth="1"/>
    <col min="10736" max="10736" width="11.28515625" style="1" customWidth="1"/>
    <col min="10737" max="10737" width="16.140625" style="1" customWidth="1"/>
    <col min="10738" max="10738" width="20.42578125" style="1" customWidth="1"/>
    <col min="10739" max="10987" width="9.140625" style="1"/>
    <col min="10988" max="10988" width="34.85546875" style="1" bestFit="1" customWidth="1"/>
    <col min="10989" max="10989" width="12" style="1" customWidth="1"/>
    <col min="10990" max="10990" width="12.5703125" style="1" customWidth="1"/>
    <col min="10991" max="10991" width="12.28515625" style="1" customWidth="1"/>
    <col min="10992" max="10992" width="11.28515625" style="1" customWidth="1"/>
    <col min="10993" max="10993" width="16.140625" style="1" customWidth="1"/>
    <col min="10994" max="10994" width="20.42578125" style="1" customWidth="1"/>
    <col min="10995" max="11243" width="9.140625" style="1"/>
    <col min="11244" max="11244" width="34.85546875" style="1" bestFit="1" customWidth="1"/>
    <col min="11245" max="11245" width="12" style="1" customWidth="1"/>
    <col min="11246" max="11246" width="12.5703125" style="1" customWidth="1"/>
    <col min="11247" max="11247" width="12.28515625" style="1" customWidth="1"/>
    <col min="11248" max="11248" width="11.28515625" style="1" customWidth="1"/>
    <col min="11249" max="11249" width="16.140625" style="1" customWidth="1"/>
    <col min="11250" max="11250" width="20.42578125" style="1" customWidth="1"/>
    <col min="11251" max="11499" width="9.140625" style="1"/>
    <col min="11500" max="11500" width="34.85546875" style="1" bestFit="1" customWidth="1"/>
    <col min="11501" max="11501" width="12" style="1" customWidth="1"/>
    <col min="11502" max="11502" width="12.5703125" style="1" customWidth="1"/>
    <col min="11503" max="11503" width="12.28515625" style="1" customWidth="1"/>
    <col min="11504" max="11504" width="11.28515625" style="1" customWidth="1"/>
    <col min="11505" max="11505" width="16.140625" style="1" customWidth="1"/>
    <col min="11506" max="11506" width="20.42578125" style="1" customWidth="1"/>
    <col min="11507" max="11755" width="9.140625" style="1"/>
    <col min="11756" max="11756" width="34.85546875" style="1" bestFit="1" customWidth="1"/>
    <col min="11757" max="11757" width="12" style="1" customWidth="1"/>
    <col min="11758" max="11758" width="12.5703125" style="1" customWidth="1"/>
    <col min="11759" max="11759" width="12.28515625" style="1" customWidth="1"/>
    <col min="11760" max="11760" width="11.28515625" style="1" customWidth="1"/>
    <col min="11761" max="11761" width="16.140625" style="1" customWidth="1"/>
    <col min="11762" max="11762" width="20.42578125" style="1" customWidth="1"/>
    <col min="11763" max="12011" width="9.140625" style="1"/>
    <col min="12012" max="12012" width="34.85546875" style="1" bestFit="1" customWidth="1"/>
    <col min="12013" max="12013" width="12" style="1" customWidth="1"/>
    <col min="12014" max="12014" width="12.5703125" style="1" customWidth="1"/>
    <col min="12015" max="12015" width="12.28515625" style="1" customWidth="1"/>
    <col min="12016" max="12016" width="11.28515625" style="1" customWidth="1"/>
    <col min="12017" max="12017" width="16.140625" style="1" customWidth="1"/>
    <col min="12018" max="12018" width="20.42578125" style="1" customWidth="1"/>
    <col min="12019" max="12267" width="9.140625" style="1"/>
    <col min="12268" max="12268" width="34.85546875" style="1" bestFit="1" customWidth="1"/>
    <col min="12269" max="12269" width="12" style="1" customWidth="1"/>
    <col min="12270" max="12270" width="12.5703125" style="1" customWidth="1"/>
    <col min="12271" max="12271" width="12.28515625" style="1" customWidth="1"/>
    <col min="12272" max="12272" width="11.28515625" style="1" customWidth="1"/>
    <col min="12273" max="12273" width="16.140625" style="1" customWidth="1"/>
    <col min="12274" max="12274" width="20.42578125" style="1" customWidth="1"/>
    <col min="12275" max="12523" width="9.140625" style="1"/>
    <col min="12524" max="12524" width="34.85546875" style="1" bestFit="1" customWidth="1"/>
    <col min="12525" max="12525" width="12" style="1" customWidth="1"/>
    <col min="12526" max="12526" width="12.5703125" style="1" customWidth="1"/>
    <col min="12527" max="12527" width="12.28515625" style="1" customWidth="1"/>
    <col min="12528" max="12528" width="11.28515625" style="1" customWidth="1"/>
    <col min="12529" max="12529" width="16.140625" style="1" customWidth="1"/>
    <col min="12530" max="12530" width="20.42578125" style="1" customWidth="1"/>
    <col min="12531" max="12779" width="9.140625" style="1"/>
    <col min="12780" max="12780" width="34.85546875" style="1" bestFit="1" customWidth="1"/>
    <col min="12781" max="12781" width="12" style="1" customWidth="1"/>
    <col min="12782" max="12782" width="12.5703125" style="1" customWidth="1"/>
    <col min="12783" max="12783" width="12.28515625" style="1" customWidth="1"/>
    <col min="12784" max="12784" width="11.28515625" style="1" customWidth="1"/>
    <col min="12785" max="12785" width="16.140625" style="1" customWidth="1"/>
    <col min="12786" max="12786" width="20.42578125" style="1" customWidth="1"/>
    <col min="12787" max="13035" width="9.140625" style="1"/>
    <col min="13036" max="13036" width="34.85546875" style="1" bestFit="1" customWidth="1"/>
    <col min="13037" max="13037" width="12" style="1" customWidth="1"/>
    <col min="13038" max="13038" width="12.5703125" style="1" customWidth="1"/>
    <col min="13039" max="13039" width="12.28515625" style="1" customWidth="1"/>
    <col min="13040" max="13040" width="11.28515625" style="1" customWidth="1"/>
    <col min="13041" max="13041" width="16.140625" style="1" customWidth="1"/>
    <col min="13042" max="13042" width="20.42578125" style="1" customWidth="1"/>
    <col min="13043" max="13291" width="9.140625" style="1"/>
    <col min="13292" max="13292" width="34.85546875" style="1" bestFit="1" customWidth="1"/>
    <col min="13293" max="13293" width="12" style="1" customWidth="1"/>
    <col min="13294" max="13294" width="12.5703125" style="1" customWidth="1"/>
    <col min="13295" max="13295" width="12.28515625" style="1" customWidth="1"/>
    <col min="13296" max="13296" width="11.28515625" style="1" customWidth="1"/>
    <col min="13297" max="13297" width="16.140625" style="1" customWidth="1"/>
    <col min="13298" max="13298" width="20.42578125" style="1" customWidth="1"/>
    <col min="13299" max="13547" width="9.140625" style="1"/>
    <col min="13548" max="13548" width="34.85546875" style="1" bestFit="1" customWidth="1"/>
    <col min="13549" max="13549" width="12" style="1" customWidth="1"/>
    <col min="13550" max="13550" width="12.5703125" style="1" customWidth="1"/>
    <col min="13551" max="13551" width="12.28515625" style="1" customWidth="1"/>
    <col min="13552" max="13552" width="11.28515625" style="1" customWidth="1"/>
    <col min="13553" max="13553" width="16.140625" style="1" customWidth="1"/>
    <col min="13554" max="13554" width="20.42578125" style="1" customWidth="1"/>
    <col min="13555" max="13803" width="9.140625" style="1"/>
    <col min="13804" max="13804" width="34.85546875" style="1" bestFit="1" customWidth="1"/>
    <col min="13805" max="13805" width="12" style="1" customWidth="1"/>
    <col min="13806" max="13806" width="12.5703125" style="1" customWidth="1"/>
    <col min="13807" max="13807" width="12.28515625" style="1" customWidth="1"/>
    <col min="13808" max="13808" width="11.28515625" style="1" customWidth="1"/>
    <col min="13809" max="13809" width="16.140625" style="1" customWidth="1"/>
    <col min="13810" max="13810" width="20.42578125" style="1" customWidth="1"/>
    <col min="13811" max="14059" width="9.140625" style="1"/>
    <col min="14060" max="14060" width="34.85546875" style="1" bestFit="1" customWidth="1"/>
    <col min="14061" max="14061" width="12" style="1" customWidth="1"/>
    <col min="14062" max="14062" width="12.5703125" style="1" customWidth="1"/>
    <col min="14063" max="14063" width="12.28515625" style="1" customWidth="1"/>
    <col min="14064" max="14064" width="11.28515625" style="1" customWidth="1"/>
    <col min="14065" max="14065" width="16.140625" style="1" customWidth="1"/>
    <col min="14066" max="14066" width="20.42578125" style="1" customWidth="1"/>
    <col min="14067" max="14315" width="9.140625" style="1"/>
    <col min="14316" max="14316" width="34.85546875" style="1" bestFit="1" customWidth="1"/>
    <col min="14317" max="14317" width="12" style="1" customWidth="1"/>
    <col min="14318" max="14318" width="12.5703125" style="1" customWidth="1"/>
    <col min="14319" max="14319" width="12.28515625" style="1" customWidth="1"/>
    <col min="14320" max="14320" width="11.28515625" style="1" customWidth="1"/>
    <col min="14321" max="14321" width="16.140625" style="1" customWidth="1"/>
    <col min="14322" max="14322" width="20.42578125" style="1" customWidth="1"/>
    <col min="14323" max="14571" width="9.140625" style="1"/>
    <col min="14572" max="14572" width="34.85546875" style="1" bestFit="1" customWidth="1"/>
    <col min="14573" max="14573" width="12" style="1" customWidth="1"/>
    <col min="14574" max="14574" width="12.5703125" style="1" customWidth="1"/>
    <col min="14575" max="14575" width="12.28515625" style="1" customWidth="1"/>
    <col min="14576" max="14576" width="11.28515625" style="1" customWidth="1"/>
    <col min="14577" max="14577" width="16.140625" style="1" customWidth="1"/>
    <col min="14578" max="14578" width="20.42578125" style="1" customWidth="1"/>
    <col min="14579" max="14827" width="9.140625" style="1"/>
    <col min="14828" max="14828" width="34.85546875" style="1" bestFit="1" customWidth="1"/>
    <col min="14829" max="14829" width="12" style="1" customWidth="1"/>
    <col min="14830" max="14830" width="12.5703125" style="1" customWidth="1"/>
    <col min="14831" max="14831" width="12.28515625" style="1" customWidth="1"/>
    <col min="14832" max="14832" width="11.28515625" style="1" customWidth="1"/>
    <col min="14833" max="14833" width="16.140625" style="1" customWidth="1"/>
    <col min="14834" max="14834" width="20.42578125" style="1" customWidth="1"/>
    <col min="14835" max="15083" width="9.140625" style="1"/>
    <col min="15084" max="15084" width="34.85546875" style="1" bestFit="1" customWidth="1"/>
    <col min="15085" max="15085" width="12" style="1" customWidth="1"/>
    <col min="15086" max="15086" width="12.5703125" style="1" customWidth="1"/>
    <col min="15087" max="15087" width="12.28515625" style="1" customWidth="1"/>
    <col min="15088" max="15088" width="11.28515625" style="1" customWidth="1"/>
    <col min="15089" max="15089" width="16.140625" style="1" customWidth="1"/>
    <col min="15090" max="15090" width="20.42578125" style="1" customWidth="1"/>
    <col min="15091" max="15339" width="9.140625" style="1"/>
    <col min="15340" max="15340" width="34.85546875" style="1" bestFit="1" customWidth="1"/>
    <col min="15341" max="15341" width="12" style="1" customWidth="1"/>
    <col min="15342" max="15342" width="12.5703125" style="1" customWidth="1"/>
    <col min="15343" max="15343" width="12.28515625" style="1" customWidth="1"/>
    <col min="15344" max="15344" width="11.28515625" style="1" customWidth="1"/>
    <col min="15345" max="15345" width="16.140625" style="1" customWidth="1"/>
    <col min="15346" max="15346" width="20.42578125" style="1" customWidth="1"/>
    <col min="15347" max="15595" width="9.140625" style="1"/>
    <col min="15596" max="15596" width="34.85546875" style="1" bestFit="1" customWidth="1"/>
    <col min="15597" max="15597" width="12" style="1" customWidth="1"/>
    <col min="15598" max="15598" width="12.5703125" style="1" customWidth="1"/>
    <col min="15599" max="15599" width="12.28515625" style="1" customWidth="1"/>
    <col min="15600" max="15600" width="11.28515625" style="1" customWidth="1"/>
    <col min="15601" max="15601" width="16.140625" style="1" customWidth="1"/>
    <col min="15602" max="15602" width="20.42578125" style="1" customWidth="1"/>
    <col min="15603" max="15851" width="9.140625" style="1"/>
    <col min="15852" max="15852" width="34.85546875" style="1" bestFit="1" customWidth="1"/>
    <col min="15853" max="15853" width="12" style="1" customWidth="1"/>
    <col min="15854" max="15854" width="12.5703125" style="1" customWidth="1"/>
    <col min="15855" max="15855" width="12.28515625" style="1" customWidth="1"/>
    <col min="15856" max="15856" width="11.28515625" style="1" customWidth="1"/>
    <col min="15857" max="15857" width="16.140625" style="1" customWidth="1"/>
    <col min="15858" max="15858" width="20.42578125" style="1" customWidth="1"/>
    <col min="15859" max="16107" width="9.140625" style="1"/>
    <col min="16108" max="16108" width="34.85546875" style="1" bestFit="1" customWidth="1"/>
    <col min="16109" max="16109" width="12" style="1" customWidth="1"/>
    <col min="16110" max="16110" width="12.5703125" style="1" customWidth="1"/>
    <col min="16111" max="16111" width="12.28515625" style="1" customWidth="1"/>
    <col min="16112" max="16112" width="11.28515625" style="1" customWidth="1"/>
    <col min="16113" max="16113" width="16.140625" style="1" customWidth="1"/>
    <col min="16114" max="16114" width="20.42578125" style="1" customWidth="1"/>
    <col min="16115" max="16384" width="9.140625" style="1"/>
  </cols>
  <sheetData>
    <row r="1" spans="1:7" x14ac:dyDescent="0.35">
      <c r="A1" s="142" t="s">
        <v>135</v>
      </c>
      <c r="B1" s="142"/>
      <c r="C1" s="142"/>
      <c r="D1" s="142"/>
      <c r="E1" s="142"/>
      <c r="F1" s="142"/>
      <c r="G1" s="142"/>
    </row>
    <row r="2" spans="1:7" ht="15" x14ac:dyDescent="0.3">
      <c r="A2" s="92" t="s">
        <v>140</v>
      </c>
      <c r="B2" s="92"/>
      <c r="C2" s="92"/>
      <c r="D2" s="92"/>
      <c r="E2" s="92"/>
      <c r="F2" s="92"/>
      <c r="G2" s="92"/>
    </row>
    <row r="3" spans="1:7" ht="53.25" customHeight="1" x14ac:dyDescent="0.3">
      <c r="A3" s="92"/>
      <c r="B3" s="92"/>
      <c r="C3" s="92"/>
      <c r="D3" s="92"/>
      <c r="E3" s="92"/>
      <c r="F3" s="92"/>
      <c r="G3" s="92"/>
    </row>
    <row r="4" spans="1:7" x14ac:dyDescent="0.35">
      <c r="A4" s="101" t="s">
        <v>115</v>
      </c>
      <c r="B4" s="101"/>
      <c r="C4" s="101"/>
      <c r="D4" s="101"/>
      <c r="E4" s="101"/>
      <c r="F4" s="101"/>
      <c r="G4" s="101"/>
    </row>
    <row r="5" spans="1:7" x14ac:dyDescent="0.35">
      <c r="A5" s="75" t="s">
        <v>1</v>
      </c>
    </row>
    <row r="6" spans="1:7" ht="24.75" customHeight="1" x14ac:dyDescent="0.3">
      <c r="A6" s="97" t="s">
        <v>116</v>
      </c>
      <c r="B6" s="97"/>
      <c r="C6" s="97"/>
      <c r="D6" s="97"/>
      <c r="E6" s="97"/>
      <c r="F6" s="97"/>
      <c r="G6" s="97"/>
    </row>
    <row r="7" spans="1:7" ht="37.5" customHeight="1" x14ac:dyDescent="0.3">
      <c r="A7" s="98" t="s">
        <v>2</v>
      </c>
      <c r="B7" s="98" t="s">
        <v>3</v>
      </c>
      <c r="C7" s="98"/>
      <c r="D7" s="99" t="s">
        <v>4</v>
      </c>
      <c r="E7" s="99" t="s">
        <v>5</v>
      </c>
      <c r="F7" s="98" t="s">
        <v>6</v>
      </c>
      <c r="G7" s="35" t="s">
        <v>7</v>
      </c>
    </row>
    <row r="8" spans="1:7" x14ac:dyDescent="0.3">
      <c r="A8" s="98"/>
      <c r="B8" s="35" t="s">
        <v>8</v>
      </c>
      <c r="C8" s="35" t="s">
        <v>9</v>
      </c>
      <c r="D8" s="100"/>
      <c r="E8" s="100"/>
      <c r="F8" s="98"/>
      <c r="G8" s="35" t="s">
        <v>10</v>
      </c>
    </row>
    <row r="9" spans="1:7" ht="36" x14ac:dyDescent="0.3">
      <c r="A9" s="70" t="s">
        <v>30</v>
      </c>
      <c r="B9" s="27">
        <v>100</v>
      </c>
      <c r="C9" s="27">
        <f>B9*75%</f>
        <v>75</v>
      </c>
      <c r="D9" s="27">
        <f>18.6%*C9</f>
        <v>13.950000000000003</v>
      </c>
      <c r="E9" s="27">
        <f>17.3%*C9</f>
        <v>12.975000000000001</v>
      </c>
      <c r="F9" s="27"/>
      <c r="G9" s="27">
        <f>4*(D9+F9)+9*E9</f>
        <v>172.57500000000002</v>
      </c>
    </row>
    <row r="10" spans="1:7" x14ac:dyDescent="0.3">
      <c r="A10" s="70" t="s">
        <v>27</v>
      </c>
      <c r="B10" s="27">
        <v>20</v>
      </c>
      <c r="C10" s="27">
        <f t="shared" ref="C10" si="0">B10*100%</f>
        <v>20</v>
      </c>
      <c r="D10" s="27">
        <f>7.4%*C10</f>
        <v>1.4800000000000002</v>
      </c>
      <c r="E10" s="27">
        <f>3.14%*C10</f>
        <v>0.62800000000000011</v>
      </c>
      <c r="F10" s="27">
        <f>62.3%*C10</f>
        <v>12.46</v>
      </c>
      <c r="G10" s="27">
        <f t="shared" ref="G10" si="1">4*(D10+F10)+9*E10</f>
        <v>61.412000000000006</v>
      </c>
    </row>
    <row r="11" spans="1:7" ht="36" x14ac:dyDescent="0.3">
      <c r="A11" s="70" t="s">
        <v>19</v>
      </c>
      <c r="B11" s="27">
        <v>8</v>
      </c>
      <c r="C11" s="27">
        <f>100%*B11</f>
        <v>8</v>
      </c>
      <c r="D11" s="27"/>
      <c r="E11" s="27">
        <f>72.57%*C11</f>
        <v>5.8055999999999992</v>
      </c>
      <c r="F11" s="27"/>
      <c r="G11" s="27">
        <f>4*(D11+F11)+9*E11</f>
        <v>52.250399999999992</v>
      </c>
    </row>
    <row r="12" spans="1:7" x14ac:dyDescent="0.3">
      <c r="A12" s="70" t="s">
        <v>43</v>
      </c>
      <c r="B12" s="27">
        <v>18</v>
      </c>
      <c r="C12" s="27">
        <f>90%*B12</f>
        <v>16.2</v>
      </c>
      <c r="D12" s="27">
        <f>1.58%*C12</f>
        <v>0.25596000000000002</v>
      </c>
      <c r="E12" s="27"/>
      <c r="F12" s="27">
        <f>9.5%*C12</f>
        <v>1.5389999999999999</v>
      </c>
      <c r="G12" s="27">
        <f t="shared" ref="G12" si="2">4*(D12+F12)+9*E12</f>
        <v>7.1798399999999996</v>
      </c>
    </row>
    <row r="13" spans="1:7" x14ac:dyDescent="0.3">
      <c r="A13" s="41" t="s">
        <v>20</v>
      </c>
      <c r="B13" s="27">
        <v>0.5</v>
      </c>
      <c r="C13" s="27">
        <f>B13*48</f>
        <v>24</v>
      </c>
      <c r="D13" s="27">
        <f>12.7%*C13</f>
        <v>3.048</v>
      </c>
      <c r="E13" s="27">
        <f>11.5%*C13</f>
        <v>2.7600000000000002</v>
      </c>
      <c r="F13" s="27"/>
      <c r="G13" s="27">
        <f>4*(D13+F13)+9*E13</f>
        <v>37.032000000000004</v>
      </c>
    </row>
    <row r="14" spans="1:7" s="5" customFormat="1" x14ac:dyDescent="0.2">
      <c r="A14" s="41" t="s">
        <v>15</v>
      </c>
      <c r="B14" s="27">
        <v>2</v>
      </c>
      <c r="C14" s="27">
        <f>100%*B14</f>
        <v>2</v>
      </c>
      <c r="D14" s="27"/>
      <c r="E14" s="27"/>
      <c r="F14" s="27"/>
      <c r="G14" s="27">
        <f t="shared" ref="G14" si="3">4*(D14+F14)+9*E14</f>
        <v>0</v>
      </c>
    </row>
    <row r="15" spans="1:7" x14ac:dyDescent="0.3">
      <c r="A15" s="37" t="s">
        <v>16</v>
      </c>
      <c r="B15" s="93">
        <v>255</v>
      </c>
      <c r="C15" s="94"/>
      <c r="D15" s="28">
        <f>SUM(D9:D13)</f>
        <v>18.733960000000003</v>
      </c>
      <c r="E15" s="28">
        <f>SUM(E9:E13)</f>
        <v>22.168600000000001</v>
      </c>
      <c r="F15" s="28">
        <f>SUM(F9:F13)</f>
        <v>13.999000000000001</v>
      </c>
      <c r="G15" s="28">
        <f>SUM(G9:G14)</f>
        <v>330.44924000000003</v>
      </c>
    </row>
    <row r="16" spans="1:7" x14ac:dyDescent="0.35">
      <c r="A16" s="75"/>
    </row>
    <row r="20" spans="1:7" ht="36" x14ac:dyDescent="0.3">
      <c r="A20" s="98" t="s">
        <v>2</v>
      </c>
      <c r="B20" s="98" t="s">
        <v>3</v>
      </c>
      <c r="C20" s="98"/>
      <c r="D20" s="99" t="s">
        <v>4</v>
      </c>
      <c r="E20" s="99" t="s">
        <v>5</v>
      </c>
      <c r="F20" s="98" t="s">
        <v>6</v>
      </c>
      <c r="G20" s="35" t="s">
        <v>7</v>
      </c>
    </row>
    <row r="21" spans="1:7" x14ac:dyDescent="0.3">
      <c r="A21" s="98"/>
      <c r="B21" s="35" t="s">
        <v>8</v>
      </c>
      <c r="C21" s="35" t="s">
        <v>9</v>
      </c>
      <c r="D21" s="100"/>
      <c r="E21" s="100"/>
      <c r="F21" s="98"/>
      <c r="G21" s="35" t="s">
        <v>10</v>
      </c>
    </row>
    <row r="22" spans="1:7" x14ac:dyDescent="0.3">
      <c r="A22" s="41" t="s">
        <v>17</v>
      </c>
      <c r="B22" s="27">
        <v>75</v>
      </c>
      <c r="C22" s="27">
        <f>B22*100%</f>
        <v>75</v>
      </c>
      <c r="D22" s="27">
        <f>C22*10%</f>
        <v>7.5</v>
      </c>
      <c r="E22" s="27">
        <f>C22*1.3%</f>
        <v>0.97500000000000009</v>
      </c>
      <c r="F22" s="27">
        <f>C22*69%</f>
        <v>51.749999999999993</v>
      </c>
      <c r="G22" s="27">
        <f>4*(D22+F22)+9*E22</f>
        <v>245.77499999999998</v>
      </c>
    </row>
    <row r="23" spans="1:7" x14ac:dyDescent="0.3">
      <c r="A23" s="41" t="s">
        <v>20</v>
      </c>
      <c r="B23" s="27">
        <v>0.5</v>
      </c>
      <c r="C23" s="27">
        <f>B23*48</f>
        <v>24</v>
      </c>
      <c r="D23" s="27">
        <f>12.7%*C23</f>
        <v>3.048</v>
      </c>
      <c r="E23" s="27">
        <f>11.5%*C23</f>
        <v>2.7600000000000002</v>
      </c>
      <c r="F23" s="27"/>
      <c r="G23" s="27">
        <f>4*(D23+F23)+9*E23</f>
        <v>37.032000000000004</v>
      </c>
    </row>
    <row r="24" spans="1:7" x14ac:dyDescent="0.3">
      <c r="A24" s="41" t="s">
        <v>71</v>
      </c>
      <c r="B24" s="27">
        <v>185</v>
      </c>
      <c r="C24" s="27">
        <f>B24*100%</f>
        <v>185</v>
      </c>
      <c r="D24" s="27"/>
      <c r="E24" s="27"/>
      <c r="F24" s="27"/>
      <c r="G24" s="27">
        <v>0</v>
      </c>
    </row>
    <row r="25" spans="1:7" x14ac:dyDescent="0.3">
      <c r="A25" s="41" t="s">
        <v>15</v>
      </c>
      <c r="B25" s="27">
        <v>1</v>
      </c>
      <c r="C25" s="27">
        <f>100%*B25</f>
        <v>1</v>
      </c>
      <c r="D25" s="27"/>
      <c r="E25" s="27"/>
      <c r="F25" s="27"/>
      <c r="G25" s="27">
        <f t="shared" ref="G25" si="4">4*(D25+F25)+9*E25</f>
        <v>0</v>
      </c>
    </row>
    <row r="26" spans="1:7" x14ac:dyDescent="0.3">
      <c r="A26" s="41" t="s">
        <v>22</v>
      </c>
      <c r="B26" s="27">
        <v>5</v>
      </c>
      <c r="C26" s="27">
        <f>100%*B26</f>
        <v>5</v>
      </c>
      <c r="D26" s="27"/>
      <c r="E26" s="27"/>
      <c r="F26" s="27">
        <f>99%*C26</f>
        <v>4.95</v>
      </c>
      <c r="G26" s="27">
        <f>4*(D26+F26)+9*E26</f>
        <v>19.8</v>
      </c>
    </row>
    <row r="27" spans="1:7" x14ac:dyDescent="0.3">
      <c r="A27" s="37" t="s">
        <v>16</v>
      </c>
      <c r="B27" s="93">
        <v>280</v>
      </c>
      <c r="C27" s="94"/>
      <c r="D27" s="28">
        <f>SUM(D20:D24)</f>
        <v>10.548</v>
      </c>
      <c r="E27" s="28">
        <f>SUM(E20:E24)</f>
        <v>3.7350000000000003</v>
      </c>
      <c r="F27" s="28">
        <f>SUM(F20:F24)</f>
        <v>51.749999999999993</v>
      </c>
      <c r="G27" s="28">
        <f>SUM(G22:G26)</f>
        <v>302.60699999999997</v>
      </c>
    </row>
    <row r="33" spans="1:7" x14ac:dyDescent="0.3">
      <c r="A33" s="97" t="s">
        <v>81</v>
      </c>
      <c r="B33" s="97"/>
      <c r="C33" s="97"/>
      <c r="D33" s="97"/>
      <c r="E33" s="97"/>
      <c r="F33" s="97"/>
      <c r="G33" s="97"/>
    </row>
    <row r="34" spans="1:7" ht="36" x14ac:dyDescent="0.3">
      <c r="A34" s="98" t="s">
        <v>2</v>
      </c>
      <c r="B34" s="98" t="s">
        <v>3</v>
      </c>
      <c r="C34" s="98"/>
      <c r="D34" s="99" t="s">
        <v>4</v>
      </c>
      <c r="E34" s="99" t="s">
        <v>5</v>
      </c>
      <c r="F34" s="98" t="s">
        <v>6</v>
      </c>
      <c r="G34" s="35" t="s">
        <v>7</v>
      </c>
    </row>
    <row r="35" spans="1:7" x14ac:dyDescent="0.3">
      <c r="A35" s="98"/>
      <c r="B35" s="35" t="s">
        <v>8</v>
      </c>
      <c r="C35" s="35" t="s">
        <v>9</v>
      </c>
      <c r="D35" s="100"/>
      <c r="E35" s="100"/>
      <c r="F35" s="98"/>
      <c r="G35" s="35" t="s">
        <v>10</v>
      </c>
    </row>
    <row r="36" spans="1:7" x14ac:dyDescent="0.3">
      <c r="A36" s="41" t="s">
        <v>29</v>
      </c>
      <c r="B36" s="27">
        <v>1</v>
      </c>
      <c r="C36" s="27">
        <f>100%*B36</f>
        <v>1</v>
      </c>
      <c r="D36" s="27"/>
      <c r="E36" s="27"/>
      <c r="F36" s="27"/>
      <c r="G36" s="27">
        <f>4*(D36+F36)+9*E36</f>
        <v>0</v>
      </c>
    </row>
    <row r="37" spans="1:7" x14ac:dyDescent="0.3">
      <c r="A37" s="41" t="s">
        <v>22</v>
      </c>
      <c r="B37" s="27">
        <v>15</v>
      </c>
      <c r="C37" s="27">
        <f>100%*B37</f>
        <v>15</v>
      </c>
      <c r="D37" s="27"/>
      <c r="E37" s="27"/>
      <c r="F37" s="27">
        <f>99%*C37</f>
        <v>14.85</v>
      </c>
      <c r="G37" s="27">
        <f>4*(D37+F37)+9*E37</f>
        <v>59.4</v>
      </c>
    </row>
    <row r="38" spans="1:7" x14ac:dyDescent="0.3">
      <c r="A38" s="37" t="s">
        <v>16</v>
      </c>
      <c r="B38" s="93">
        <v>250</v>
      </c>
      <c r="C38" s="94"/>
      <c r="D38" s="28">
        <f>SUM(D31:D35)</f>
        <v>0</v>
      </c>
      <c r="E38" s="28">
        <f>SUM(E31:E35)</f>
        <v>0</v>
      </c>
      <c r="F38" s="28">
        <f>SUM(F31:F35)</f>
        <v>0</v>
      </c>
      <c r="G38" s="28">
        <f>SUM(G33:G37)</f>
        <v>59.4</v>
      </c>
    </row>
    <row r="39" spans="1:7" x14ac:dyDescent="0.3">
      <c r="A39" s="70" t="s">
        <v>28</v>
      </c>
      <c r="B39" s="27">
        <v>10</v>
      </c>
      <c r="C39" s="27">
        <f>100%*B39</f>
        <v>10</v>
      </c>
      <c r="D39" s="27">
        <f>0.5%*C39</f>
        <v>0.05</v>
      </c>
      <c r="E39" s="27">
        <f>82.5%*C39</f>
        <v>8.25</v>
      </c>
      <c r="F39" s="27">
        <f>0.8%*C39</f>
        <v>0.08</v>
      </c>
      <c r="G39" s="27">
        <f>4*(D39+F39)+9*E39</f>
        <v>74.77</v>
      </c>
    </row>
    <row r="40" spans="1:7" x14ac:dyDescent="0.3">
      <c r="A40" s="47" t="s">
        <v>13</v>
      </c>
      <c r="B40" s="28">
        <v>300</v>
      </c>
      <c r="C40" s="28">
        <f>B40*100%</f>
        <v>300</v>
      </c>
      <c r="D40" s="28">
        <f>C40*7.9%</f>
        <v>23.7</v>
      </c>
      <c r="E40" s="28">
        <f>C40*1%</f>
        <v>3</v>
      </c>
      <c r="F40" s="28">
        <f>C40*49.6%</f>
        <v>148.80000000000001</v>
      </c>
      <c r="G40" s="28">
        <f>4*(D40+F40)+9*E40</f>
        <v>717</v>
      </c>
    </row>
    <row r="41" spans="1:7" x14ac:dyDescent="0.3">
      <c r="A41" s="37" t="s">
        <v>34</v>
      </c>
      <c r="B41" s="107">
        <f>B15+B38+B39+B40</f>
        <v>815</v>
      </c>
      <c r="C41" s="94"/>
      <c r="D41" s="28">
        <f>D15+D27+D39+D40</f>
        <v>53.031960000000005</v>
      </c>
      <c r="E41" s="28">
        <f>E15+E27+E39+E40</f>
        <v>37.153599999999997</v>
      </c>
      <c r="F41" s="28">
        <f>F15+F27+F39+F40</f>
        <v>214.62900000000002</v>
      </c>
      <c r="G41" s="28">
        <f>G15+G27+G38+G39+G40</f>
        <v>1484.22624</v>
      </c>
    </row>
    <row r="45" spans="1:7" x14ac:dyDescent="0.35">
      <c r="A45" s="75" t="s">
        <v>37</v>
      </c>
    </row>
    <row r="46" spans="1:7" x14ac:dyDescent="0.3">
      <c r="A46" s="97" t="s">
        <v>134</v>
      </c>
      <c r="B46" s="97"/>
      <c r="C46" s="97"/>
      <c r="D46" s="97"/>
      <c r="E46" s="97"/>
      <c r="F46" s="97"/>
      <c r="G46" s="97"/>
    </row>
    <row r="47" spans="1:7" ht="36" x14ac:dyDescent="0.3">
      <c r="A47" s="98" t="s">
        <v>2</v>
      </c>
      <c r="B47" s="98" t="s">
        <v>3</v>
      </c>
      <c r="C47" s="98"/>
      <c r="D47" s="99" t="s">
        <v>4</v>
      </c>
      <c r="E47" s="99" t="s">
        <v>5</v>
      </c>
      <c r="F47" s="98" t="s">
        <v>6</v>
      </c>
      <c r="G47" s="35" t="s">
        <v>7</v>
      </c>
    </row>
    <row r="48" spans="1:7" x14ac:dyDescent="0.3">
      <c r="A48" s="98"/>
      <c r="B48" s="35" t="s">
        <v>8</v>
      </c>
      <c r="C48" s="35" t="s">
        <v>9</v>
      </c>
      <c r="D48" s="100"/>
      <c r="E48" s="100"/>
      <c r="F48" s="98"/>
      <c r="G48" s="35" t="s">
        <v>10</v>
      </c>
    </row>
    <row r="49" spans="1:7" x14ac:dyDescent="0.3">
      <c r="A49" s="70" t="s">
        <v>24</v>
      </c>
      <c r="B49" s="27">
        <v>40</v>
      </c>
      <c r="C49" s="27">
        <f t="shared" ref="C49" si="5">100%*B49</f>
        <v>40</v>
      </c>
      <c r="D49" s="27">
        <f>2.6%*C49</f>
        <v>1.04</v>
      </c>
      <c r="E49" s="27">
        <f>10%*C49</f>
        <v>4</v>
      </c>
      <c r="F49" s="27">
        <f>3.8%*C49</f>
        <v>1.52</v>
      </c>
      <c r="G49" s="27">
        <f t="shared" ref="G49:G50" si="6">4*(D49+F49)+9*E49</f>
        <v>46.24</v>
      </c>
    </row>
    <row r="50" spans="1:7" x14ac:dyDescent="0.3">
      <c r="A50" s="70" t="s">
        <v>20</v>
      </c>
      <c r="B50" s="27">
        <v>1</v>
      </c>
      <c r="C50" s="27">
        <f>B50*48</f>
        <v>48</v>
      </c>
      <c r="D50" s="27">
        <f>12.7%*C50</f>
        <v>6.0960000000000001</v>
      </c>
      <c r="E50" s="27">
        <f>11.5%*C50</f>
        <v>5.5200000000000005</v>
      </c>
      <c r="F50" s="27"/>
      <c r="G50" s="27">
        <f t="shared" si="6"/>
        <v>74.064000000000007</v>
      </c>
    </row>
    <row r="51" spans="1:7" x14ac:dyDescent="0.3">
      <c r="A51" s="70" t="s">
        <v>46</v>
      </c>
      <c r="B51" s="27">
        <v>55</v>
      </c>
      <c r="C51" s="27">
        <f>72%*B51</f>
        <v>39.6</v>
      </c>
      <c r="D51" s="27">
        <f>2.1%*C51</f>
        <v>0.83160000000000012</v>
      </c>
      <c r="E51" s="27">
        <f>0.4%*C51</f>
        <v>0.15840000000000001</v>
      </c>
      <c r="F51" s="27">
        <f>15.6%*C51</f>
        <v>6.1776</v>
      </c>
      <c r="G51" s="27">
        <f>4*(D51+F51)+9*E51</f>
        <v>29.462399999999999</v>
      </c>
    </row>
    <row r="52" spans="1:7" s="8" customFormat="1" x14ac:dyDescent="0.25">
      <c r="A52" s="70" t="s">
        <v>53</v>
      </c>
      <c r="B52" s="27">
        <v>45</v>
      </c>
      <c r="C52" s="27">
        <f>90%*B52</f>
        <v>40.5</v>
      </c>
      <c r="D52" s="27">
        <f>0.8%*C52</f>
        <v>0.32400000000000001</v>
      </c>
      <c r="E52" s="27"/>
      <c r="F52" s="27">
        <f>2.6%*C52</f>
        <v>1.0530000000000002</v>
      </c>
      <c r="G52" s="27">
        <f t="shared" ref="G52" si="7">4*(D52+F52)+9*E52</f>
        <v>5.5080000000000009</v>
      </c>
    </row>
    <row r="53" spans="1:7" x14ac:dyDescent="0.3">
      <c r="A53" s="78" t="s">
        <v>58</v>
      </c>
      <c r="B53" s="27">
        <v>12</v>
      </c>
      <c r="C53" s="27">
        <f>B53*80%</f>
        <v>9.6000000000000014</v>
      </c>
      <c r="D53" s="27">
        <f>1.3%*C53</f>
        <v>0.12480000000000004</v>
      </c>
      <c r="E53" s="27"/>
      <c r="F53" s="27">
        <f>4.3%*C53</f>
        <v>0.41280000000000006</v>
      </c>
      <c r="G53" s="27">
        <f>4*(D53+F53)+9*E53</f>
        <v>2.1504000000000003</v>
      </c>
    </row>
    <row r="54" spans="1:7" x14ac:dyDescent="0.3">
      <c r="A54" s="41" t="s">
        <v>15</v>
      </c>
      <c r="B54" s="27">
        <v>2</v>
      </c>
      <c r="C54" s="27">
        <f>100%*B54</f>
        <v>2</v>
      </c>
      <c r="D54" s="27"/>
      <c r="E54" s="27"/>
      <c r="F54" s="27"/>
      <c r="G54" s="27">
        <f>4*(D54+F54)+9*E54</f>
        <v>0</v>
      </c>
    </row>
    <row r="55" spans="1:7" ht="19.5" customHeight="1" x14ac:dyDescent="0.3">
      <c r="A55" s="70" t="s">
        <v>52</v>
      </c>
      <c r="B55" s="27">
        <v>25</v>
      </c>
      <c r="C55" s="27">
        <f>90%*B55</f>
        <v>22.5</v>
      </c>
      <c r="D55" s="27">
        <f>1.1%*C55</f>
        <v>0.24750000000000003</v>
      </c>
      <c r="E55" s="27">
        <f>0.2%*C55</f>
        <v>4.4999999999999998E-2</v>
      </c>
      <c r="F55" s="27">
        <f>3.8%*C55</f>
        <v>0.85499999999999998</v>
      </c>
      <c r="G55" s="27">
        <f t="shared" ref="G55" si="8">4*(D55+F55)+9*E55</f>
        <v>4.8150000000000004</v>
      </c>
    </row>
    <row r="56" spans="1:7" ht="19.5" customHeight="1" x14ac:dyDescent="0.3">
      <c r="A56" s="37" t="s">
        <v>16</v>
      </c>
      <c r="B56" s="93">
        <v>150</v>
      </c>
      <c r="C56" s="94"/>
      <c r="D56" s="28">
        <f>SUM(D49:D55)</f>
        <v>8.6639000000000017</v>
      </c>
      <c r="E56" s="28">
        <f>SUM(E49:E55)</f>
        <v>9.7233999999999998</v>
      </c>
      <c r="F56" s="28">
        <f>SUM(F49:F55)</f>
        <v>10.018400000000002</v>
      </c>
      <c r="G56" s="28">
        <f>SUM(G49:G55)</f>
        <v>162.2398</v>
      </c>
    </row>
    <row r="57" spans="1:7" ht="19.5" customHeight="1" x14ac:dyDescent="0.3">
      <c r="A57" s="48"/>
      <c r="B57" s="48"/>
      <c r="C57" s="48"/>
      <c r="D57" s="49"/>
      <c r="E57" s="49"/>
      <c r="F57" s="49"/>
      <c r="G57" s="49"/>
    </row>
    <row r="58" spans="1:7" ht="19.5" customHeight="1" x14ac:dyDescent="0.3">
      <c r="A58" s="97" t="s">
        <v>117</v>
      </c>
      <c r="B58" s="97"/>
      <c r="C58" s="97"/>
      <c r="D58" s="97"/>
      <c r="E58" s="97"/>
      <c r="F58" s="97"/>
      <c r="G58" s="97"/>
    </row>
    <row r="59" spans="1:7" ht="35.25" customHeight="1" x14ac:dyDescent="0.3">
      <c r="A59" s="98" t="s">
        <v>2</v>
      </c>
      <c r="B59" s="98" t="s">
        <v>3</v>
      </c>
      <c r="C59" s="98"/>
      <c r="D59" s="98" t="s">
        <v>4</v>
      </c>
      <c r="E59" s="98" t="s">
        <v>5</v>
      </c>
      <c r="F59" s="98" t="s">
        <v>6</v>
      </c>
      <c r="G59" s="35" t="s">
        <v>7</v>
      </c>
    </row>
    <row r="60" spans="1:7" ht="19.5" customHeight="1" x14ac:dyDescent="0.3">
      <c r="A60" s="98"/>
      <c r="B60" s="35" t="s">
        <v>8</v>
      </c>
      <c r="C60" s="35" t="s">
        <v>9</v>
      </c>
      <c r="D60" s="98"/>
      <c r="E60" s="98"/>
      <c r="F60" s="98"/>
      <c r="G60" s="35" t="s">
        <v>10</v>
      </c>
    </row>
    <row r="61" spans="1:7" ht="19.5" customHeight="1" x14ac:dyDescent="0.3">
      <c r="A61" s="70" t="s">
        <v>43</v>
      </c>
      <c r="B61" s="27">
        <v>12</v>
      </c>
      <c r="C61" s="27">
        <f>90%*B61</f>
        <v>10.8</v>
      </c>
      <c r="D61" s="27">
        <f>1.58%*C61</f>
        <v>0.17064000000000004</v>
      </c>
      <c r="E61" s="27"/>
      <c r="F61" s="27">
        <f>9.5%*C61</f>
        <v>1.026</v>
      </c>
      <c r="G61" s="27">
        <f t="shared" ref="G61" si="9">4*(D61+F61)+9*E61</f>
        <v>4.7865600000000006</v>
      </c>
    </row>
    <row r="62" spans="1:7" ht="19.5" customHeight="1" x14ac:dyDescent="0.3">
      <c r="A62" s="70" t="s">
        <v>45</v>
      </c>
      <c r="B62" s="27">
        <v>32</v>
      </c>
      <c r="C62" s="27">
        <f>80%*B62</f>
        <v>25.6</v>
      </c>
      <c r="D62" s="27">
        <f>1.77%*C62</f>
        <v>0.45312000000000002</v>
      </c>
      <c r="E62" s="27"/>
      <c r="F62" s="27">
        <f>11%*C62</f>
        <v>2.8160000000000003</v>
      </c>
      <c r="G62" s="27">
        <f>4*(D62+F62)+9*E62</f>
        <v>13.076480000000002</v>
      </c>
    </row>
    <row r="63" spans="1:7" x14ac:dyDescent="0.3">
      <c r="A63" s="70" t="s">
        <v>48</v>
      </c>
      <c r="B63" s="27">
        <v>50</v>
      </c>
      <c r="C63" s="27">
        <f>75%*B63</f>
        <v>37.5</v>
      </c>
      <c r="D63" s="27">
        <f>1.87%*C63</f>
        <v>0.70125000000000004</v>
      </c>
      <c r="E63" s="27"/>
      <c r="F63" s="27">
        <f>4.15%*C63</f>
        <v>1.5562500000000001</v>
      </c>
      <c r="G63" s="27">
        <f>4*(D63+F63)+9*E63</f>
        <v>9.0300000000000011</v>
      </c>
    </row>
    <row r="64" spans="1:7" x14ac:dyDescent="0.3">
      <c r="A64" s="70" t="s">
        <v>46</v>
      </c>
      <c r="B64" s="27">
        <v>70</v>
      </c>
      <c r="C64" s="27">
        <f>72%*B64</f>
        <v>50.4</v>
      </c>
      <c r="D64" s="27">
        <f>2.1%*C64</f>
        <v>1.0584</v>
      </c>
      <c r="E64" s="27">
        <f>0.4%*C64</f>
        <v>0.2016</v>
      </c>
      <c r="F64" s="27">
        <f>15.6%*C64</f>
        <v>7.8624000000000001</v>
      </c>
      <c r="G64" s="27">
        <f>4*(D64+F64)+9*E64</f>
        <v>37.497599999999998</v>
      </c>
    </row>
    <row r="65" spans="1:7" x14ac:dyDescent="0.3">
      <c r="A65" s="70" t="s">
        <v>65</v>
      </c>
      <c r="B65" s="27">
        <v>5</v>
      </c>
      <c r="C65" s="27">
        <f t="shared" ref="C65" si="10">100%*B65</f>
        <v>5</v>
      </c>
      <c r="D65" s="27"/>
      <c r="E65" s="27"/>
      <c r="F65" s="27">
        <f>17.7%*C65</f>
        <v>0.88500000000000001</v>
      </c>
      <c r="G65" s="27">
        <f t="shared" ref="G65" si="11">4*(D65+F65)+9*E65</f>
        <v>3.54</v>
      </c>
    </row>
    <row r="66" spans="1:7" x14ac:dyDescent="0.3">
      <c r="A66" s="41" t="s">
        <v>42</v>
      </c>
      <c r="B66" s="27">
        <v>7</v>
      </c>
      <c r="C66" s="27">
        <f>85%*B66</f>
        <v>5.95</v>
      </c>
      <c r="D66" s="27"/>
      <c r="E66" s="27"/>
      <c r="F66" s="27"/>
      <c r="G66" s="27">
        <f>4*(D66+F66)+9*E66</f>
        <v>0</v>
      </c>
    </row>
    <row r="67" spans="1:7" ht="36" x14ac:dyDescent="0.3">
      <c r="A67" s="70" t="s">
        <v>19</v>
      </c>
      <c r="B67" s="27">
        <v>5</v>
      </c>
      <c r="C67" s="27">
        <f>100%*B67</f>
        <v>5</v>
      </c>
      <c r="D67" s="27"/>
      <c r="E67" s="27">
        <f>72.57%*C67</f>
        <v>3.6284999999999994</v>
      </c>
      <c r="F67" s="27"/>
      <c r="G67" s="27">
        <f>4*(D67+F67)+9*E67</f>
        <v>32.656499999999994</v>
      </c>
    </row>
    <row r="68" spans="1:7" x14ac:dyDescent="0.3">
      <c r="A68" s="41" t="s">
        <v>15</v>
      </c>
      <c r="B68" s="27">
        <v>1</v>
      </c>
      <c r="C68" s="27">
        <f>100%*B68</f>
        <v>1</v>
      </c>
      <c r="D68" s="27"/>
      <c r="E68" s="27"/>
      <c r="F68" s="27"/>
      <c r="G68" s="27">
        <f>4*(D68+F68)+9*E68</f>
        <v>0</v>
      </c>
    </row>
    <row r="69" spans="1:7" x14ac:dyDescent="0.3">
      <c r="A69" s="41" t="s">
        <v>118</v>
      </c>
      <c r="B69" s="27">
        <v>400</v>
      </c>
      <c r="C69" s="27"/>
      <c r="D69" s="27"/>
      <c r="E69" s="27"/>
      <c r="F69" s="27"/>
      <c r="G69" s="27"/>
    </row>
    <row r="70" spans="1:7" x14ac:dyDescent="0.3">
      <c r="A70" s="37" t="s">
        <v>16</v>
      </c>
      <c r="B70" s="98">
        <v>450</v>
      </c>
      <c r="C70" s="98"/>
      <c r="D70" s="28">
        <f t="shared" ref="D70:F70" si="12">SUM(D61:D69)</f>
        <v>2.3834100000000005</v>
      </c>
      <c r="E70" s="28">
        <f t="shared" si="12"/>
        <v>3.8300999999999994</v>
      </c>
      <c r="F70" s="28">
        <f t="shared" si="12"/>
        <v>14.145650000000002</v>
      </c>
      <c r="G70" s="28">
        <f>SUM(G61:G69)</f>
        <v>100.58714000000001</v>
      </c>
    </row>
    <row r="72" spans="1:7" x14ac:dyDescent="0.3">
      <c r="A72" s="65"/>
      <c r="B72" s="49"/>
      <c r="C72" s="49"/>
      <c r="D72" s="49"/>
      <c r="E72" s="49"/>
      <c r="F72" s="49"/>
      <c r="G72" s="49"/>
    </row>
    <row r="73" spans="1:7" x14ac:dyDescent="0.3">
      <c r="A73" s="97" t="s">
        <v>119</v>
      </c>
      <c r="B73" s="97"/>
      <c r="C73" s="97"/>
      <c r="D73" s="97"/>
      <c r="E73" s="97"/>
      <c r="F73" s="97"/>
      <c r="G73" s="97"/>
    </row>
    <row r="74" spans="1:7" ht="36" x14ac:dyDescent="0.3">
      <c r="A74" s="98" t="s">
        <v>2</v>
      </c>
      <c r="B74" s="98" t="s">
        <v>3</v>
      </c>
      <c r="C74" s="98"/>
      <c r="D74" s="99" t="s">
        <v>4</v>
      </c>
      <c r="E74" s="99" t="s">
        <v>5</v>
      </c>
      <c r="F74" s="98" t="s">
        <v>6</v>
      </c>
      <c r="G74" s="35" t="s">
        <v>7</v>
      </c>
    </row>
    <row r="75" spans="1:7" x14ac:dyDescent="0.3">
      <c r="A75" s="98"/>
      <c r="B75" s="35" t="s">
        <v>8</v>
      </c>
      <c r="C75" s="35" t="s">
        <v>9</v>
      </c>
      <c r="D75" s="100"/>
      <c r="E75" s="100"/>
      <c r="F75" s="98"/>
      <c r="G75" s="35" t="s">
        <v>10</v>
      </c>
    </row>
    <row r="76" spans="1:7" x14ac:dyDescent="0.3">
      <c r="A76" s="41" t="s">
        <v>33</v>
      </c>
      <c r="B76" s="27">
        <v>150</v>
      </c>
      <c r="C76" s="27">
        <f>B76*92%</f>
        <v>138</v>
      </c>
      <c r="D76" s="27">
        <f>23%*C76</f>
        <v>31.740000000000002</v>
      </c>
      <c r="E76" s="27">
        <f>1.9%*C76</f>
        <v>2.6219999999999999</v>
      </c>
      <c r="F76" s="27">
        <f>0.7%*C76</f>
        <v>0.96599999999999986</v>
      </c>
      <c r="G76" s="27">
        <f>4*(D76+F76)+9*E76</f>
        <v>154.42200000000003</v>
      </c>
    </row>
    <row r="77" spans="1:7" x14ac:dyDescent="0.3">
      <c r="A77" s="41" t="s">
        <v>13</v>
      </c>
      <c r="B77" s="27">
        <v>15</v>
      </c>
      <c r="C77" s="27">
        <f>B77*100%</f>
        <v>15</v>
      </c>
      <c r="D77" s="27">
        <f>C77*7.9%</f>
        <v>1.1850000000000001</v>
      </c>
      <c r="E77" s="27">
        <f>C77*1%</f>
        <v>0.15</v>
      </c>
      <c r="F77" s="27">
        <f>C77*49.6%</f>
        <v>7.4399999999999995</v>
      </c>
      <c r="G77" s="27">
        <f>4*(D77+F77)+9*E77</f>
        <v>35.85</v>
      </c>
    </row>
    <row r="78" spans="1:7" x14ac:dyDescent="0.3">
      <c r="A78" s="41" t="s">
        <v>45</v>
      </c>
      <c r="B78" s="27">
        <v>12</v>
      </c>
      <c r="C78" s="27">
        <f>80%*B78</f>
        <v>9.6000000000000014</v>
      </c>
      <c r="D78" s="27">
        <f>1.77%*C78</f>
        <v>0.16992000000000004</v>
      </c>
      <c r="E78" s="27"/>
      <c r="F78" s="27">
        <f>11%*C78</f>
        <v>1.0560000000000003</v>
      </c>
      <c r="G78" s="27">
        <f>4*(D78+F78)+9*E78</f>
        <v>4.9036800000000014</v>
      </c>
    </row>
    <row r="79" spans="1:7" x14ac:dyDescent="0.3">
      <c r="A79" s="41" t="s">
        <v>42</v>
      </c>
      <c r="B79" s="27">
        <v>7</v>
      </c>
      <c r="C79" s="27">
        <f>85%*B79</f>
        <v>5.95</v>
      </c>
      <c r="D79" s="27"/>
      <c r="E79" s="27"/>
      <c r="F79" s="27"/>
      <c r="G79" s="27">
        <f>4*(D79+F79)+9*E79</f>
        <v>0</v>
      </c>
    </row>
    <row r="80" spans="1:7" x14ac:dyDescent="0.3">
      <c r="A80" s="41" t="s">
        <v>14</v>
      </c>
      <c r="B80" s="27">
        <v>7</v>
      </c>
      <c r="C80" s="27">
        <f>100%*B80</f>
        <v>7</v>
      </c>
      <c r="D80" s="27"/>
      <c r="E80" s="27">
        <f>99.9%*C80</f>
        <v>6.9930000000000003</v>
      </c>
      <c r="F80" s="27"/>
      <c r="G80" s="27">
        <f>4*(D80+F80)+9*E80</f>
        <v>62.937000000000005</v>
      </c>
    </row>
    <row r="81" spans="1:7" x14ac:dyDescent="0.3">
      <c r="A81" s="41" t="s">
        <v>20</v>
      </c>
      <c r="B81" s="27">
        <v>0.25</v>
      </c>
      <c r="C81" s="27">
        <f>B81*48</f>
        <v>12</v>
      </c>
      <c r="D81" s="27">
        <f>12.7%*C81</f>
        <v>1.524</v>
      </c>
      <c r="E81" s="27">
        <f>11.5%*C81</f>
        <v>1.3800000000000001</v>
      </c>
      <c r="F81" s="27"/>
      <c r="G81" s="27">
        <f t="shared" ref="G81" si="13">4*(D81+F81)+9*E81</f>
        <v>18.516000000000002</v>
      </c>
    </row>
    <row r="82" spans="1:7" x14ac:dyDescent="0.3">
      <c r="A82" s="41" t="s">
        <v>15</v>
      </c>
      <c r="B82" s="27">
        <v>1</v>
      </c>
      <c r="C82" s="27">
        <f>100%*B82</f>
        <v>1</v>
      </c>
      <c r="D82" s="27"/>
      <c r="E82" s="27"/>
      <c r="F82" s="27"/>
      <c r="G82" s="27">
        <f>4*(D82+F82)+9*E82</f>
        <v>0</v>
      </c>
    </row>
    <row r="83" spans="1:7" x14ac:dyDescent="0.3">
      <c r="A83" s="70" t="s">
        <v>43</v>
      </c>
      <c r="B83" s="27">
        <v>10</v>
      </c>
      <c r="C83" s="27">
        <f>90%*B83</f>
        <v>9</v>
      </c>
      <c r="D83" s="27">
        <f>1.58%*C83</f>
        <v>0.14220000000000002</v>
      </c>
      <c r="E83" s="27"/>
      <c r="F83" s="27">
        <f>9.5%*C83</f>
        <v>0.85499999999999998</v>
      </c>
      <c r="G83" s="27">
        <f>4*(D83+F83)+9*E83</f>
        <v>3.9887999999999999</v>
      </c>
    </row>
    <row r="84" spans="1:7" x14ac:dyDescent="0.3">
      <c r="A84" s="37" t="s">
        <v>16</v>
      </c>
      <c r="B84" s="93">
        <v>150</v>
      </c>
      <c r="C84" s="94"/>
      <c r="D84" s="28">
        <f>SUM(D76:D82)</f>
        <v>34.618920000000003</v>
      </c>
      <c r="E84" s="28">
        <f>SUM(E76:E82)</f>
        <v>11.145000000000001</v>
      </c>
      <c r="F84" s="28">
        <f>SUM(F76:F82)</f>
        <v>9.4619999999999997</v>
      </c>
      <c r="G84" s="28">
        <f>SUM(G76:G83)</f>
        <v>280.61748000000006</v>
      </c>
    </row>
    <row r="89" spans="1:7" x14ac:dyDescent="0.3">
      <c r="A89" s="97" t="s">
        <v>109</v>
      </c>
      <c r="B89" s="97"/>
      <c r="C89" s="97"/>
      <c r="D89" s="97"/>
      <c r="E89" s="97"/>
      <c r="F89" s="97"/>
      <c r="G89" s="97"/>
    </row>
    <row r="90" spans="1:7" ht="36" x14ac:dyDescent="0.3">
      <c r="A90" s="98" t="s">
        <v>2</v>
      </c>
      <c r="B90" s="98" t="s">
        <v>3</v>
      </c>
      <c r="C90" s="98"/>
      <c r="D90" s="99" t="s">
        <v>4</v>
      </c>
      <c r="E90" s="99" t="s">
        <v>5</v>
      </c>
      <c r="F90" s="98" t="s">
        <v>6</v>
      </c>
      <c r="G90" s="35" t="s">
        <v>7</v>
      </c>
    </row>
    <row r="91" spans="1:7" x14ac:dyDescent="0.3">
      <c r="A91" s="98"/>
      <c r="B91" s="35" t="s">
        <v>8</v>
      </c>
      <c r="C91" s="35" t="s">
        <v>9</v>
      </c>
      <c r="D91" s="100"/>
      <c r="E91" s="100"/>
      <c r="F91" s="98"/>
      <c r="G91" s="35" t="s">
        <v>10</v>
      </c>
    </row>
    <row r="92" spans="1:7" x14ac:dyDescent="0.3">
      <c r="A92" s="41" t="s">
        <v>46</v>
      </c>
      <c r="B92" s="27">
        <v>220</v>
      </c>
      <c r="C92" s="27">
        <f>72%*B92</f>
        <v>158.4</v>
      </c>
      <c r="D92" s="27">
        <f>2.1%*C92</f>
        <v>3.3264000000000005</v>
      </c>
      <c r="E92" s="27">
        <f>0.4%*C92</f>
        <v>0.63360000000000005</v>
      </c>
      <c r="F92" s="27">
        <f>15.6%*C92</f>
        <v>24.7104</v>
      </c>
      <c r="G92" s="27">
        <f>4*(D92+F92)+9*E92</f>
        <v>117.8496</v>
      </c>
    </row>
    <row r="93" spans="1:7" x14ac:dyDescent="0.3">
      <c r="A93" s="70" t="s">
        <v>39</v>
      </c>
      <c r="B93" s="27">
        <v>20</v>
      </c>
      <c r="C93" s="27">
        <f t="shared" ref="C93" si="14">100%*B93</f>
        <v>20</v>
      </c>
      <c r="D93" s="27">
        <f>6.97%*C93</f>
        <v>1.3939999999999999</v>
      </c>
      <c r="E93" s="27">
        <f>8.13%*C93</f>
        <v>1.6260000000000003</v>
      </c>
      <c r="F93" s="27">
        <f>9.8%*B93</f>
        <v>1.96</v>
      </c>
      <c r="G93" s="27">
        <f t="shared" ref="G93" si="15">4*(D93+F93)+9*E93</f>
        <v>28.050000000000004</v>
      </c>
    </row>
    <row r="94" spans="1:7" ht="36" x14ac:dyDescent="0.3">
      <c r="A94" s="70" t="s">
        <v>19</v>
      </c>
      <c r="B94" s="27">
        <v>5</v>
      </c>
      <c r="C94" s="27">
        <f>100%*B94</f>
        <v>5</v>
      </c>
      <c r="D94" s="27"/>
      <c r="E94" s="27">
        <f>72.57%*C94</f>
        <v>3.6284999999999994</v>
      </c>
      <c r="F94" s="27"/>
      <c r="G94" s="27">
        <f>4*(D94+F94)+9*E94</f>
        <v>32.656499999999994</v>
      </c>
    </row>
    <row r="95" spans="1:7" x14ac:dyDescent="0.3">
      <c r="A95" s="41" t="s">
        <v>15</v>
      </c>
      <c r="B95" s="27">
        <v>2</v>
      </c>
      <c r="C95" s="27">
        <f>100%*B95</f>
        <v>2</v>
      </c>
      <c r="D95" s="27"/>
      <c r="E95" s="27"/>
      <c r="F95" s="27"/>
      <c r="G95" s="27">
        <f>4*(D95+F95)+9*E95</f>
        <v>0</v>
      </c>
    </row>
    <row r="96" spans="1:7" x14ac:dyDescent="0.3">
      <c r="A96" s="37" t="s">
        <v>16</v>
      </c>
      <c r="B96" s="93">
        <v>200</v>
      </c>
      <c r="C96" s="94"/>
      <c r="D96" s="28">
        <f t="shared" ref="D96:F96" si="16">SUM(D92:D95)</f>
        <v>4.7204000000000006</v>
      </c>
      <c r="E96" s="28">
        <f t="shared" si="16"/>
        <v>5.8880999999999997</v>
      </c>
      <c r="F96" s="28">
        <f t="shared" si="16"/>
        <v>26.670400000000001</v>
      </c>
      <c r="G96" s="28">
        <f>SUM(G92:G95)</f>
        <v>178.55609999999999</v>
      </c>
    </row>
    <row r="98" spans="1:7" x14ac:dyDescent="0.3">
      <c r="A98" s="90"/>
      <c r="B98" s="66"/>
      <c r="C98" s="66"/>
      <c r="D98" s="66"/>
      <c r="E98" s="66"/>
      <c r="F98" s="66"/>
      <c r="G98" s="66"/>
    </row>
    <row r="99" spans="1:7" ht="36" x14ac:dyDescent="0.3">
      <c r="A99" s="98" t="s">
        <v>2</v>
      </c>
      <c r="B99" s="98" t="s">
        <v>3</v>
      </c>
      <c r="C99" s="98"/>
      <c r="D99" s="99" t="s">
        <v>4</v>
      </c>
      <c r="E99" s="99" t="s">
        <v>5</v>
      </c>
      <c r="F99" s="98" t="s">
        <v>6</v>
      </c>
      <c r="G99" s="35" t="s">
        <v>7</v>
      </c>
    </row>
    <row r="100" spans="1:7" x14ac:dyDescent="0.3">
      <c r="A100" s="98"/>
      <c r="B100" s="35" t="s">
        <v>8</v>
      </c>
      <c r="C100" s="35" t="s">
        <v>9</v>
      </c>
      <c r="D100" s="100"/>
      <c r="E100" s="100"/>
      <c r="F100" s="98"/>
      <c r="G100" s="35" t="s">
        <v>10</v>
      </c>
    </row>
    <row r="101" spans="1:7" x14ac:dyDescent="0.3">
      <c r="A101" s="41" t="s">
        <v>59</v>
      </c>
      <c r="B101" s="27">
        <v>200</v>
      </c>
      <c r="C101" s="27">
        <f>86%*B101</f>
        <v>172</v>
      </c>
      <c r="D101" s="27"/>
      <c r="E101" s="27"/>
      <c r="F101" s="27">
        <f>12%*C101</f>
        <v>20.64</v>
      </c>
      <c r="G101" s="27">
        <f>4*(D101+F101)+9*E101</f>
        <v>82.56</v>
      </c>
    </row>
    <row r="102" spans="1:7" x14ac:dyDescent="0.3">
      <c r="A102" s="41" t="s">
        <v>13</v>
      </c>
      <c r="B102" s="27">
        <v>400</v>
      </c>
      <c r="C102" s="27">
        <f>B102*100%</f>
        <v>400</v>
      </c>
      <c r="D102" s="27">
        <f>C102*7.9%</f>
        <v>31.6</v>
      </c>
      <c r="E102" s="27">
        <f>C102*1%</f>
        <v>4</v>
      </c>
      <c r="F102" s="27">
        <f>C102*49.6%</f>
        <v>198.4</v>
      </c>
      <c r="G102" s="27">
        <f>4*(D102+F102)+9*E102</f>
        <v>956</v>
      </c>
    </row>
    <row r="103" spans="1:7" x14ac:dyDescent="0.3">
      <c r="A103" s="37" t="s">
        <v>61</v>
      </c>
      <c r="B103" s="107">
        <f>B56+B70+B84+B96+B101+B102</f>
        <v>1550</v>
      </c>
      <c r="C103" s="133"/>
      <c r="D103" s="28">
        <f t="shared" ref="D103:F103" si="17">D56+D70+D84+D96+D101+D102</f>
        <v>81.986630000000005</v>
      </c>
      <c r="E103" s="28">
        <f t="shared" si="17"/>
        <v>34.586600000000004</v>
      </c>
      <c r="F103" s="28">
        <f t="shared" si="17"/>
        <v>279.33645000000001</v>
      </c>
      <c r="G103" s="28">
        <f>G56+G70+G84+G96+G101+G102</f>
        <v>1760.56052</v>
      </c>
    </row>
    <row r="107" spans="1:7" ht="29.25" customHeight="1" x14ac:dyDescent="0.35">
      <c r="A107" s="91" t="s">
        <v>63</v>
      </c>
    </row>
    <row r="108" spans="1:7" ht="35.25" customHeight="1" x14ac:dyDescent="0.3">
      <c r="A108" s="134" t="s">
        <v>120</v>
      </c>
      <c r="B108" s="134"/>
      <c r="C108" s="134"/>
      <c r="D108" s="134"/>
      <c r="E108" s="66"/>
      <c r="F108" s="66"/>
      <c r="G108" s="66"/>
    </row>
    <row r="109" spans="1:7" ht="36" x14ac:dyDescent="0.3">
      <c r="A109" s="98" t="s">
        <v>2</v>
      </c>
      <c r="B109" s="98" t="s">
        <v>3</v>
      </c>
      <c r="C109" s="98"/>
      <c r="D109" s="99" t="s">
        <v>4</v>
      </c>
      <c r="E109" s="99" t="s">
        <v>5</v>
      </c>
      <c r="F109" s="98" t="s">
        <v>6</v>
      </c>
      <c r="G109" s="35" t="s">
        <v>7</v>
      </c>
    </row>
    <row r="110" spans="1:7" x14ac:dyDescent="0.3">
      <c r="A110" s="98"/>
      <c r="B110" s="35" t="s">
        <v>8</v>
      </c>
      <c r="C110" s="35" t="s">
        <v>9</v>
      </c>
      <c r="D110" s="100"/>
      <c r="E110" s="100"/>
      <c r="F110" s="98"/>
      <c r="G110" s="35" t="s">
        <v>10</v>
      </c>
    </row>
    <row r="111" spans="1:7" ht="36" x14ac:dyDescent="0.3">
      <c r="A111" s="41" t="s">
        <v>30</v>
      </c>
      <c r="B111" s="27">
        <v>150</v>
      </c>
      <c r="C111" s="27">
        <f>B111*75%</f>
        <v>112.5</v>
      </c>
      <c r="D111" s="27">
        <f>18.6%*C111</f>
        <v>20.925000000000004</v>
      </c>
      <c r="E111" s="27">
        <f>17.3%*C111</f>
        <v>19.462500000000002</v>
      </c>
      <c r="F111" s="27"/>
      <c r="G111" s="27">
        <f>4*(D111+F111)+9*E111</f>
        <v>258.86250000000007</v>
      </c>
    </row>
    <row r="112" spans="1:7" x14ac:dyDescent="0.3">
      <c r="A112" s="70" t="s">
        <v>46</v>
      </c>
      <c r="B112" s="27">
        <v>300</v>
      </c>
      <c r="C112" s="27">
        <f>72%*B112</f>
        <v>216</v>
      </c>
      <c r="D112" s="27">
        <f>2.1%*C112</f>
        <v>4.5360000000000005</v>
      </c>
      <c r="E112" s="27">
        <f>0.4%*C112</f>
        <v>0.86399999999999999</v>
      </c>
      <c r="F112" s="27">
        <f>15.6%*C112</f>
        <v>33.695999999999998</v>
      </c>
      <c r="G112" s="27">
        <f>4*(D112+F112)+9*E112</f>
        <v>160.70400000000001</v>
      </c>
    </row>
    <row r="113" spans="1:7" x14ac:dyDescent="0.3">
      <c r="A113" s="41" t="s">
        <v>43</v>
      </c>
      <c r="B113" s="27">
        <v>12</v>
      </c>
      <c r="C113" s="27">
        <f>90%*B113</f>
        <v>10.8</v>
      </c>
      <c r="D113" s="27">
        <f>1.58%*C113</f>
        <v>0.17064000000000004</v>
      </c>
      <c r="E113" s="27"/>
      <c r="F113" s="27">
        <f>9.5%*C113</f>
        <v>1.026</v>
      </c>
      <c r="G113" s="27">
        <f>4*(D113+F113)+9*E113</f>
        <v>4.7865600000000006</v>
      </c>
    </row>
    <row r="114" spans="1:7" x14ac:dyDescent="0.3">
      <c r="A114" s="70" t="s">
        <v>18</v>
      </c>
      <c r="B114" s="27">
        <v>10</v>
      </c>
      <c r="C114" s="27">
        <f t="shared" ref="C114" si="18">B114*100%</f>
        <v>10</v>
      </c>
      <c r="D114" s="27">
        <f>C114*8%</f>
        <v>0.8</v>
      </c>
      <c r="E114" s="27">
        <f>C114*1%</f>
        <v>0.1</v>
      </c>
      <c r="F114" s="27">
        <f>C114*50%</f>
        <v>5</v>
      </c>
      <c r="G114" s="27">
        <f t="shared" ref="G114" si="19">4*(D114+F114)+9*E114</f>
        <v>24.099999999999998</v>
      </c>
    </row>
    <row r="115" spans="1:7" x14ac:dyDescent="0.3">
      <c r="A115" s="70" t="s">
        <v>20</v>
      </c>
      <c r="B115" s="27">
        <v>0.25</v>
      </c>
      <c r="C115" s="27">
        <f>B115*48</f>
        <v>12</v>
      </c>
      <c r="D115" s="27">
        <f>12.7%*C115</f>
        <v>1.524</v>
      </c>
      <c r="E115" s="27">
        <f>11.5%*C115</f>
        <v>1.3800000000000001</v>
      </c>
      <c r="F115" s="27"/>
      <c r="G115" s="27">
        <f t="shared" ref="G115" si="20">4*(D115+F115)+9*E115</f>
        <v>18.516000000000002</v>
      </c>
    </row>
    <row r="116" spans="1:7" x14ac:dyDescent="0.3">
      <c r="A116" s="41" t="s">
        <v>14</v>
      </c>
      <c r="B116" s="27">
        <v>10</v>
      </c>
      <c r="C116" s="27">
        <f>100%*B116</f>
        <v>10</v>
      </c>
      <c r="D116" s="27"/>
      <c r="E116" s="27">
        <f>99.9%*C116</f>
        <v>9.990000000000002</v>
      </c>
      <c r="F116" s="27"/>
      <c r="G116" s="27">
        <f>4*(D116+F116)+9*E116</f>
        <v>89.910000000000025</v>
      </c>
    </row>
    <row r="117" spans="1:7" x14ac:dyDescent="0.3">
      <c r="A117" s="41" t="s">
        <v>15</v>
      </c>
      <c r="B117" s="27">
        <v>1</v>
      </c>
      <c r="C117" s="27">
        <f>100%*B117</f>
        <v>1</v>
      </c>
      <c r="D117" s="27"/>
      <c r="E117" s="27"/>
      <c r="F117" s="27"/>
      <c r="G117" s="27">
        <f>4*(D117+F117)+9*E117</f>
        <v>0</v>
      </c>
    </row>
    <row r="118" spans="1:7" x14ac:dyDescent="0.3">
      <c r="A118" s="37" t="s">
        <v>16</v>
      </c>
      <c r="B118" s="93">
        <v>150</v>
      </c>
      <c r="C118" s="94"/>
      <c r="D118" s="28">
        <f>SUM(D111:D117)</f>
        <v>27.955640000000006</v>
      </c>
      <c r="E118" s="28">
        <f>SUM(E111:E117)</f>
        <v>31.796500000000005</v>
      </c>
      <c r="F118" s="28">
        <f>SUM(F111:F117)</f>
        <v>39.722000000000001</v>
      </c>
      <c r="G118" s="28">
        <f>SUM(G111:G117)</f>
        <v>556.87906000000021</v>
      </c>
    </row>
    <row r="122" spans="1:7" x14ac:dyDescent="0.3">
      <c r="A122" s="90"/>
      <c r="B122" s="66"/>
      <c r="C122" s="66"/>
      <c r="D122" s="66"/>
      <c r="E122" s="66"/>
      <c r="F122" s="66"/>
      <c r="G122" s="66"/>
    </row>
    <row r="123" spans="1:7" ht="36" x14ac:dyDescent="0.3">
      <c r="A123" s="98" t="s">
        <v>2</v>
      </c>
      <c r="B123" s="98" t="s">
        <v>3</v>
      </c>
      <c r="C123" s="98"/>
      <c r="D123" s="99" t="s">
        <v>4</v>
      </c>
      <c r="E123" s="99" t="s">
        <v>5</v>
      </c>
      <c r="F123" s="98" t="s">
        <v>6</v>
      </c>
      <c r="G123" s="35" t="s">
        <v>7</v>
      </c>
    </row>
    <row r="124" spans="1:7" x14ac:dyDescent="0.3">
      <c r="A124" s="98"/>
      <c r="B124" s="35" t="s">
        <v>8</v>
      </c>
      <c r="C124" s="35" t="s">
        <v>9</v>
      </c>
      <c r="D124" s="100"/>
      <c r="E124" s="100"/>
      <c r="F124" s="98"/>
      <c r="G124" s="35" t="s">
        <v>10</v>
      </c>
    </row>
    <row r="125" spans="1:7" ht="21.75" customHeight="1" x14ac:dyDescent="0.3">
      <c r="A125" s="79" t="s">
        <v>40</v>
      </c>
      <c r="B125" s="28">
        <v>200</v>
      </c>
      <c r="C125" s="28">
        <f>100%*B125</f>
        <v>200</v>
      </c>
      <c r="D125" s="28">
        <f>2.8%*C125</f>
        <v>5.6</v>
      </c>
      <c r="E125" s="28">
        <f>3.2%*C125</f>
        <v>6.4</v>
      </c>
      <c r="F125" s="28">
        <f>4.7%*C125</f>
        <v>9.4</v>
      </c>
      <c r="G125" s="28">
        <f>4*(D125+F125)+9*E125</f>
        <v>117.6</v>
      </c>
    </row>
    <row r="126" spans="1:7" ht="21.75" customHeight="1" x14ac:dyDescent="0.3">
      <c r="A126" s="47" t="s">
        <v>13</v>
      </c>
      <c r="B126" s="28">
        <v>200</v>
      </c>
      <c r="C126" s="28">
        <f>B126*100%</f>
        <v>200</v>
      </c>
      <c r="D126" s="28">
        <f>C126*7.9%</f>
        <v>15.8</v>
      </c>
      <c r="E126" s="28">
        <f>C126*1%</f>
        <v>2</v>
      </c>
      <c r="F126" s="28">
        <f>C126*49.6%</f>
        <v>99.2</v>
      </c>
      <c r="G126" s="28">
        <f>4*(D126+F126)+9*E126</f>
        <v>478</v>
      </c>
    </row>
    <row r="127" spans="1:7" x14ac:dyDescent="0.3">
      <c r="A127" s="37" t="s">
        <v>67</v>
      </c>
      <c r="B127" s="107">
        <f>B118+B125+B126</f>
        <v>550</v>
      </c>
      <c r="C127" s="133"/>
      <c r="D127" s="28">
        <f t="shared" ref="D127:F127" si="21">D118+D125+D126</f>
        <v>49.355640000000008</v>
      </c>
      <c r="E127" s="28">
        <f t="shared" si="21"/>
        <v>40.196500000000007</v>
      </c>
      <c r="F127" s="28">
        <f t="shared" si="21"/>
        <v>148.322</v>
      </c>
      <c r="G127" s="28">
        <f>G118+G125+G126</f>
        <v>1152.4790600000001</v>
      </c>
    </row>
    <row r="130" spans="1:7" x14ac:dyDescent="0.3">
      <c r="A130" s="40" t="s">
        <v>68</v>
      </c>
      <c r="B130" s="135">
        <f>B41+B103+B127</f>
        <v>2915</v>
      </c>
      <c r="C130" s="135"/>
      <c r="D130" s="67">
        <f t="shared" ref="D130:F130" si="22">D41+D103+D127</f>
        <v>184.37423000000001</v>
      </c>
      <c r="E130" s="67">
        <f t="shared" si="22"/>
        <v>111.9367</v>
      </c>
      <c r="F130" s="67">
        <f t="shared" si="22"/>
        <v>642.28745000000004</v>
      </c>
      <c r="G130" s="67">
        <f>G41+G103+G127</f>
        <v>4397.2658200000005</v>
      </c>
    </row>
    <row r="132" spans="1:7" x14ac:dyDescent="0.35">
      <c r="G132" s="33">
        <f>G41/G130</f>
        <v>0.33753389054837712</v>
      </c>
    </row>
    <row r="133" spans="1:7" x14ac:dyDescent="0.35">
      <c r="A133" s="75" t="s">
        <v>78</v>
      </c>
      <c r="G133" s="33">
        <f>G103/G130</f>
        <v>0.40037618649126827</v>
      </c>
    </row>
    <row r="134" spans="1:7" s="20" customFormat="1" x14ac:dyDescent="0.35">
      <c r="A134" s="75" t="s">
        <v>79</v>
      </c>
      <c r="B134" s="39"/>
      <c r="C134" s="39"/>
      <c r="D134" s="39"/>
      <c r="E134" s="39"/>
      <c r="F134" s="39"/>
      <c r="G134" s="33">
        <f>G127/G130</f>
        <v>0.26208992296035449</v>
      </c>
    </row>
    <row r="135" spans="1:7" x14ac:dyDescent="0.35">
      <c r="A135" s="75" t="s">
        <v>80</v>
      </c>
      <c r="G135" s="50"/>
    </row>
  </sheetData>
  <mergeCells count="72">
    <mergeCell ref="A1:G1"/>
    <mergeCell ref="B127:C127"/>
    <mergeCell ref="B130:C130"/>
    <mergeCell ref="B27:C27"/>
    <mergeCell ref="B118:C118"/>
    <mergeCell ref="A123:A124"/>
    <mergeCell ref="B123:C123"/>
    <mergeCell ref="B96:C96"/>
    <mergeCell ref="A99:A100"/>
    <mergeCell ref="B99:C99"/>
    <mergeCell ref="B70:C70"/>
    <mergeCell ref="A73:G73"/>
    <mergeCell ref="A74:A75"/>
    <mergeCell ref="B74:C74"/>
    <mergeCell ref="D74:D75"/>
    <mergeCell ref="E74:E75"/>
    <mergeCell ref="F74:F75"/>
    <mergeCell ref="D123:D124"/>
    <mergeCell ref="E123:E124"/>
    <mergeCell ref="F123:F124"/>
    <mergeCell ref="B103:C103"/>
    <mergeCell ref="A109:A110"/>
    <mergeCell ref="B109:C109"/>
    <mergeCell ref="D109:D110"/>
    <mergeCell ref="E109:E110"/>
    <mergeCell ref="F109:F110"/>
    <mergeCell ref="A108:D108"/>
    <mergeCell ref="D99:D100"/>
    <mergeCell ref="E99:E100"/>
    <mergeCell ref="F99:F100"/>
    <mergeCell ref="B84:C84"/>
    <mergeCell ref="A89:G89"/>
    <mergeCell ref="A90:A91"/>
    <mergeCell ref="B90:C90"/>
    <mergeCell ref="D90:D91"/>
    <mergeCell ref="E90:E91"/>
    <mergeCell ref="F90:F91"/>
    <mergeCell ref="B56:C56"/>
    <mergeCell ref="A58:G58"/>
    <mergeCell ref="A59:A60"/>
    <mergeCell ref="B59:C59"/>
    <mergeCell ref="D59:D60"/>
    <mergeCell ref="E59:E60"/>
    <mergeCell ref="F59:F60"/>
    <mergeCell ref="B38:C38"/>
    <mergeCell ref="B41:C41"/>
    <mergeCell ref="A46:G46"/>
    <mergeCell ref="A47:A48"/>
    <mergeCell ref="B47:C47"/>
    <mergeCell ref="D47:D48"/>
    <mergeCell ref="E47:E48"/>
    <mergeCell ref="F47:F48"/>
    <mergeCell ref="B15:C15"/>
    <mergeCell ref="A33:G33"/>
    <mergeCell ref="A34:A35"/>
    <mergeCell ref="B34:C34"/>
    <mergeCell ref="D34:D35"/>
    <mergeCell ref="E34:E35"/>
    <mergeCell ref="F34:F35"/>
    <mergeCell ref="A20:A21"/>
    <mergeCell ref="B20:C20"/>
    <mergeCell ref="D20:D21"/>
    <mergeCell ref="E20:E21"/>
    <mergeCell ref="F20:F21"/>
    <mergeCell ref="A2:G3"/>
    <mergeCell ref="A4:G4"/>
    <mergeCell ref="A6:G6"/>
    <mergeCell ref="A7:A8"/>
    <mergeCell ref="B7:C7"/>
    <mergeCell ref="D7:D8"/>
    <mergeCell ref="E7:E8"/>
    <mergeCell ref="F7:F8"/>
  </mergeCells>
  <pageMargins left="0.2" right="0.2" top="0.41" bottom="1" header="0.5" footer="0.5"/>
  <pageSetup paperSize="9" scale="78" orientation="portrait" r:id="rId1"/>
  <headerFooter alignWithMargins="0"/>
  <rowBreaks count="1" manualBreakCount="1">
    <brk id="69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6"/>
  <sheetViews>
    <sheetView tabSelected="1" view="pageBreakPreview" topLeftCell="A106" zoomScale="95" zoomScaleNormal="100" zoomScaleSheetLayoutView="95" workbookViewId="0">
      <selection activeCell="A2" sqref="A2:G3"/>
    </sheetView>
  </sheetViews>
  <sheetFormatPr defaultRowHeight="18" x14ac:dyDescent="0.35"/>
  <cols>
    <col min="1" max="1" width="34.85546875" style="73" bestFit="1" customWidth="1"/>
    <col min="2" max="2" width="12" style="24" customWidth="1"/>
    <col min="3" max="3" width="12.5703125" style="24" customWidth="1"/>
    <col min="4" max="4" width="12.28515625" style="24" customWidth="1"/>
    <col min="5" max="5" width="11.28515625" style="24" customWidth="1"/>
    <col min="6" max="6" width="16.140625" style="24" customWidth="1"/>
    <col min="7" max="7" width="20.42578125" style="24" customWidth="1"/>
    <col min="8" max="233" width="9.140625" style="12"/>
    <col min="234" max="234" width="34.85546875" style="12" bestFit="1" customWidth="1"/>
    <col min="235" max="235" width="12" style="12" customWidth="1"/>
    <col min="236" max="236" width="12.5703125" style="12" customWidth="1"/>
    <col min="237" max="237" width="12.28515625" style="12" customWidth="1"/>
    <col min="238" max="238" width="11.28515625" style="12" customWidth="1"/>
    <col min="239" max="239" width="16.140625" style="12" customWidth="1"/>
    <col min="240" max="240" width="20.42578125" style="12" customWidth="1"/>
    <col min="241" max="489" width="9.140625" style="12"/>
    <col min="490" max="490" width="34.85546875" style="12" bestFit="1" customWidth="1"/>
    <col min="491" max="491" width="12" style="12" customWidth="1"/>
    <col min="492" max="492" width="12.5703125" style="12" customWidth="1"/>
    <col min="493" max="493" width="12.28515625" style="12" customWidth="1"/>
    <col min="494" max="494" width="11.28515625" style="12" customWidth="1"/>
    <col min="495" max="495" width="16.140625" style="12" customWidth="1"/>
    <col min="496" max="496" width="20.42578125" style="12" customWidth="1"/>
    <col min="497" max="745" width="9.140625" style="12"/>
    <col min="746" max="746" width="34.85546875" style="12" bestFit="1" customWidth="1"/>
    <col min="747" max="747" width="12" style="12" customWidth="1"/>
    <col min="748" max="748" width="12.5703125" style="12" customWidth="1"/>
    <col min="749" max="749" width="12.28515625" style="12" customWidth="1"/>
    <col min="750" max="750" width="11.28515625" style="12" customWidth="1"/>
    <col min="751" max="751" width="16.140625" style="12" customWidth="1"/>
    <col min="752" max="752" width="20.42578125" style="12" customWidth="1"/>
    <col min="753" max="1001" width="9.140625" style="12"/>
    <col min="1002" max="1002" width="34.85546875" style="12" bestFit="1" customWidth="1"/>
    <col min="1003" max="1003" width="12" style="12" customWidth="1"/>
    <col min="1004" max="1004" width="12.5703125" style="12" customWidth="1"/>
    <col min="1005" max="1005" width="12.28515625" style="12" customWidth="1"/>
    <col min="1006" max="1006" width="11.28515625" style="12" customWidth="1"/>
    <col min="1007" max="1007" width="16.140625" style="12" customWidth="1"/>
    <col min="1008" max="1008" width="20.42578125" style="12" customWidth="1"/>
    <col min="1009" max="1257" width="9.140625" style="12"/>
    <col min="1258" max="1258" width="34.85546875" style="12" bestFit="1" customWidth="1"/>
    <col min="1259" max="1259" width="12" style="12" customWidth="1"/>
    <col min="1260" max="1260" width="12.5703125" style="12" customWidth="1"/>
    <col min="1261" max="1261" width="12.28515625" style="12" customWidth="1"/>
    <col min="1262" max="1262" width="11.28515625" style="12" customWidth="1"/>
    <col min="1263" max="1263" width="16.140625" style="12" customWidth="1"/>
    <col min="1264" max="1264" width="20.42578125" style="12" customWidth="1"/>
    <col min="1265" max="1513" width="9.140625" style="12"/>
    <col min="1514" max="1514" width="34.85546875" style="12" bestFit="1" customWidth="1"/>
    <col min="1515" max="1515" width="12" style="12" customWidth="1"/>
    <col min="1516" max="1516" width="12.5703125" style="12" customWidth="1"/>
    <col min="1517" max="1517" width="12.28515625" style="12" customWidth="1"/>
    <col min="1518" max="1518" width="11.28515625" style="12" customWidth="1"/>
    <col min="1519" max="1519" width="16.140625" style="12" customWidth="1"/>
    <col min="1520" max="1520" width="20.42578125" style="12" customWidth="1"/>
    <col min="1521" max="1769" width="9.140625" style="12"/>
    <col min="1770" max="1770" width="34.85546875" style="12" bestFit="1" customWidth="1"/>
    <col min="1771" max="1771" width="12" style="12" customWidth="1"/>
    <col min="1772" max="1772" width="12.5703125" style="12" customWidth="1"/>
    <col min="1773" max="1773" width="12.28515625" style="12" customWidth="1"/>
    <col min="1774" max="1774" width="11.28515625" style="12" customWidth="1"/>
    <col min="1775" max="1775" width="16.140625" style="12" customWidth="1"/>
    <col min="1776" max="1776" width="20.42578125" style="12" customWidth="1"/>
    <col min="1777" max="2025" width="9.140625" style="12"/>
    <col min="2026" max="2026" width="34.85546875" style="12" bestFit="1" customWidth="1"/>
    <col min="2027" max="2027" width="12" style="12" customWidth="1"/>
    <col min="2028" max="2028" width="12.5703125" style="12" customWidth="1"/>
    <col min="2029" max="2029" width="12.28515625" style="12" customWidth="1"/>
    <col min="2030" max="2030" width="11.28515625" style="12" customWidth="1"/>
    <col min="2031" max="2031" width="16.140625" style="12" customWidth="1"/>
    <col min="2032" max="2032" width="20.42578125" style="12" customWidth="1"/>
    <col min="2033" max="2281" width="9.140625" style="12"/>
    <col min="2282" max="2282" width="34.85546875" style="12" bestFit="1" customWidth="1"/>
    <col min="2283" max="2283" width="12" style="12" customWidth="1"/>
    <col min="2284" max="2284" width="12.5703125" style="12" customWidth="1"/>
    <col min="2285" max="2285" width="12.28515625" style="12" customWidth="1"/>
    <col min="2286" max="2286" width="11.28515625" style="12" customWidth="1"/>
    <col min="2287" max="2287" width="16.140625" style="12" customWidth="1"/>
    <col min="2288" max="2288" width="20.42578125" style="12" customWidth="1"/>
    <col min="2289" max="2537" width="9.140625" style="12"/>
    <col min="2538" max="2538" width="34.85546875" style="12" bestFit="1" customWidth="1"/>
    <col min="2539" max="2539" width="12" style="12" customWidth="1"/>
    <col min="2540" max="2540" width="12.5703125" style="12" customWidth="1"/>
    <col min="2541" max="2541" width="12.28515625" style="12" customWidth="1"/>
    <col min="2542" max="2542" width="11.28515625" style="12" customWidth="1"/>
    <col min="2543" max="2543" width="16.140625" style="12" customWidth="1"/>
    <col min="2544" max="2544" width="20.42578125" style="12" customWidth="1"/>
    <col min="2545" max="2793" width="9.140625" style="12"/>
    <col min="2794" max="2794" width="34.85546875" style="12" bestFit="1" customWidth="1"/>
    <col min="2795" max="2795" width="12" style="12" customWidth="1"/>
    <col min="2796" max="2796" width="12.5703125" style="12" customWidth="1"/>
    <col min="2797" max="2797" width="12.28515625" style="12" customWidth="1"/>
    <col min="2798" max="2798" width="11.28515625" style="12" customWidth="1"/>
    <col min="2799" max="2799" width="16.140625" style="12" customWidth="1"/>
    <col min="2800" max="2800" width="20.42578125" style="12" customWidth="1"/>
    <col min="2801" max="3049" width="9.140625" style="12"/>
    <col min="3050" max="3050" width="34.85546875" style="12" bestFit="1" customWidth="1"/>
    <col min="3051" max="3051" width="12" style="12" customWidth="1"/>
    <col min="3052" max="3052" width="12.5703125" style="12" customWidth="1"/>
    <col min="3053" max="3053" width="12.28515625" style="12" customWidth="1"/>
    <col min="3054" max="3054" width="11.28515625" style="12" customWidth="1"/>
    <col min="3055" max="3055" width="16.140625" style="12" customWidth="1"/>
    <col min="3056" max="3056" width="20.42578125" style="12" customWidth="1"/>
    <col min="3057" max="3305" width="9.140625" style="12"/>
    <col min="3306" max="3306" width="34.85546875" style="12" bestFit="1" customWidth="1"/>
    <col min="3307" max="3307" width="12" style="12" customWidth="1"/>
    <col min="3308" max="3308" width="12.5703125" style="12" customWidth="1"/>
    <col min="3309" max="3309" width="12.28515625" style="12" customWidth="1"/>
    <col min="3310" max="3310" width="11.28515625" style="12" customWidth="1"/>
    <col min="3311" max="3311" width="16.140625" style="12" customWidth="1"/>
    <col min="3312" max="3312" width="20.42578125" style="12" customWidth="1"/>
    <col min="3313" max="3561" width="9.140625" style="12"/>
    <col min="3562" max="3562" width="34.85546875" style="12" bestFit="1" customWidth="1"/>
    <col min="3563" max="3563" width="12" style="12" customWidth="1"/>
    <col min="3564" max="3564" width="12.5703125" style="12" customWidth="1"/>
    <col min="3565" max="3565" width="12.28515625" style="12" customWidth="1"/>
    <col min="3566" max="3566" width="11.28515625" style="12" customWidth="1"/>
    <col min="3567" max="3567" width="16.140625" style="12" customWidth="1"/>
    <col min="3568" max="3568" width="20.42578125" style="12" customWidth="1"/>
    <col min="3569" max="3817" width="9.140625" style="12"/>
    <col min="3818" max="3818" width="34.85546875" style="12" bestFit="1" customWidth="1"/>
    <col min="3819" max="3819" width="12" style="12" customWidth="1"/>
    <col min="3820" max="3820" width="12.5703125" style="12" customWidth="1"/>
    <col min="3821" max="3821" width="12.28515625" style="12" customWidth="1"/>
    <col min="3822" max="3822" width="11.28515625" style="12" customWidth="1"/>
    <col min="3823" max="3823" width="16.140625" style="12" customWidth="1"/>
    <col min="3824" max="3824" width="20.42578125" style="12" customWidth="1"/>
    <col min="3825" max="4073" width="9.140625" style="12"/>
    <col min="4074" max="4074" width="34.85546875" style="12" bestFit="1" customWidth="1"/>
    <col min="4075" max="4075" width="12" style="12" customWidth="1"/>
    <col min="4076" max="4076" width="12.5703125" style="12" customWidth="1"/>
    <col min="4077" max="4077" width="12.28515625" style="12" customWidth="1"/>
    <col min="4078" max="4078" width="11.28515625" style="12" customWidth="1"/>
    <col min="4079" max="4079" width="16.140625" style="12" customWidth="1"/>
    <col min="4080" max="4080" width="20.42578125" style="12" customWidth="1"/>
    <col min="4081" max="4329" width="9.140625" style="12"/>
    <col min="4330" max="4330" width="34.85546875" style="12" bestFit="1" customWidth="1"/>
    <col min="4331" max="4331" width="12" style="12" customWidth="1"/>
    <col min="4332" max="4332" width="12.5703125" style="12" customWidth="1"/>
    <col min="4333" max="4333" width="12.28515625" style="12" customWidth="1"/>
    <col min="4334" max="4334" width="11.28515625" style="12" customWidth="1"/>
    <col min="4335" max="4335" width="16.140625" style="12" customWidth="1"/>
    <col min="4336" max="4336" width="20.42578125" style="12" customWidth="1"/>
    <col min="4337" max="4585" width="9.140625" style="12"/>
    <col min="4586" max="4586" width="34.85546875" style="12" bestFit="1" customWidth="1"/>
    <col min="4587" max="4587" width="12" style="12" customWidth="1"/>
    <col min="4588" max="4588" width="12.5703125" style="12" customWidth="1"/>
    <col min="4589" max="4589" width="12.28515625" style="12" customWidth="1"/>
    <col min="4590" max="4590" width="11.28515625" style="12" customWidth="1"/>
    <col min="4591" max="4591" width="16.140625" style="12" customWidth="1"/>
    <col min="4592" max="4592" width="20.42578125" style="12" customWidth="1"/>
    <col min="4593" max="4841" width="9.140625" style="12"/>
    <col min="4842" max="4842" width="34.85546875" style="12" bestFit="1" customWidth="1"/>
    <col min="4843" max="4843" width="12" style="12" customWidth="1"/>
    <col min="4844" max="4844" width="12.5703125" style="12" customWidth="1"/>
    <col min="4845" max="4845" width="12.28515625" style="12" customWidth="1"/>
    <col min="4846" max="4846" width="11.28515625" style="12" customWidth="1"/>
    <col min="4847" max="4847" width="16.140625" style="12" customWidth="1"/>
    <col min="4848" max="4848" width="20.42578125" style="12" customWidth="1"/>
    <col min="4849" max="5097" width="9.140625" style="12"/>
    <col min="5098" max="5098" width="34.85546875" style="12" bestFit="1" customWidth="1"/>
    <col min="5099" max="5099" width="12" style="12" customWidth="1"/>
    <col min="5100" max="5100" width="12.5703125" style="12" customWidth="1"/>
    <col min="5101" max="5101" width="12.28515625" style="12" customWidth="1"/>
    <col min="5102" max="5102" width="11.28515625" style="12" customWidth="1"/>
    <col min="5103" max="5103" width="16.140625" style="12" customWidth="1"/>
    <col min="5104" max="5104" width="20.42578125" style="12" customWidth="1"/>
    <col min="5105" max="5353" width="9.140625" style="12"/>
    <col min="5354" max="5354" width="34.85546875" style="12" bestFit="1" customWidth="1"/>
    <col min="5355" max="5355" width="12" style="12" customWidth="1"/>
    <col min="5356" max="5356" width="12.5703125" style="12" customWidth="1"/>
    <col min="5357" max="5357" width="12.28515625" style="12" customWidth="1"/>
    <col min="5358" max="5358" width="11.28515625" style="12" customWidth="1"/>
    <col min="5359" max="5359" width="16.140625" style="12" customWidth="1"/>
    <col min="5360" max="5360" width="20.42578125" style="12" customWidth="1"/>
    <col min="5361" max="5609" width="9.140625" style="12"/>
    <col min="5610" max="5610" width="34.85546875" style="12" bestFit="1" customWidth="1"/>
    <col min="5611" max="5611" width="12" style="12" customWidth="1"/>
    <col min="5612" max="5612" width="12.5703125" style="12" customWidth="1"/>
    <col min="5613" max="5613" width="12.28515625" style="12" customWidth="1"/>
    <col min="5614" max="5614" width="11.28515625" style="12" customWidth="1"/>
    <col min="5615" max="5615" width="16.140625" style="12" customWidth="1"/>
    <col min="5616" max="5616" width="20.42578125" style="12" customWidth="1"/>
    <col min="5617" max="5865" width="9.140625" style="12"/>
    <col min="5866" max="5866" width="34.85546875" style="12" bestFit="1" customWidth="1"/>
    <col min="5867" max="5867" width="12" style="12" customWidth="1"/>
    <col min="5868" max="5868" width="12.5703125" style="12" customWidth="1"/>
    <col min="5869" max="5869" width="12.28515625" style="12" customWidth="1"/>
    <col min="5870" max="5870" width="11.28515625" style="12" customWidth="1"/>
    <col min="5871" max="5871" width="16.140625" style="12" customWidth="1"/>
    <col min="5872" max="5872" width="20.42578125" style="12" customWidth="1"/>
    <col min="5873" max="6121" width="9.140625" style="12"/>
    <col min="6122" max="6122" width="34.85546875" style="12" bestFit="1" customWidth="1"/>
    <col min="6123" max="6123" width="12" style="12" customWidth="1"/>
    <col min="6124" max="6124" width="12.5703125" style="12" customWidth="1"/>
    <col min="6125" max="6125" width="12.28515625" style="12" customWidth="1"/>
    <col min="6126" max="6126" width="11.28515625" style="12" customWidth="1"/>
    <col min="6127" max="6127" width="16.140625" style="12" customWidth="1"/>
    <col min="6128" max="6128" width="20.42578125" style="12" customWidth="1"/>
    <col min="6129" max="6377" width="9.140625" style="12"/>
    <col min="6378" max="6378" width="34.85546875" style="12" bestFit="1" customWidth="1"/>
    <col min="6379" max="6379" width="12" style="12" customWidth="1"/>
    <col min="6380" max="6380" width="12.5703125" style="12" customWidth="1"/>
    <col min="6381" max="6381" width="12.28515625" style="12" customWidth="1"/>
    <col min="6382" max="6382" width="11.28515625" style="12" customWidth="1"/>
    <col min="6383" max="6383" width="16.140625" style="12" customWidth="1"/>
    <col min="6384" max="6384" width="20.42578125" style="12" customWidth="1"/>
    <col min="6385" max="6633" width="9.140625" style="12"/>
    <col min="6634" max="6634" width="34.85546875" style="12" bestFit="1" customWidth="1"/>
    <col min="6635" max="6635" width="12" style="12" customWidth="1"/>
    <col min="6636" max="6636" width="12.5703125" style="12" customWidth="1"/>
    <col min="6637" max="6637" width="12.28515625" style="12" customWidth="1"/>
    <col min="6638" max="6638" width="11.28515625" style="12" customWidth="1"/>
    <col min="6639" max="6639" width="16.140625" style="12" customWidth="1"/>
    <col min="6640" max="6640" width="20.42578125" style="12" customWidth="1"/>
    <col min="6641" max="6889" width="9.140625" style="12"/>
    <col min="6890" max="6890" width="34.85546875" style="12" bestFit="1" customWidth="1"/>
    <col min="6891" max="6891" width="12" style="12" customWidth="1"/>
    <col min="6892" max="6892" width="12.5703125" style="12" customWidth="1"/>
    <col min="6893" max="6893" width="12.28515625" style="12" customWidth="1"/>
    <col min="6894" max="6894" width="11.28515625" style="12" customWidth="1"/>
    <col min="6895" max="6895" width="16.140625" style="12" customWidth="1"/>
    <col min="6896" max="6896" width="20.42578125" style="12" customWidth="1"/>
    <col min="6897" max="7145" width="9.140625" style="12"/>
    <col min="7146" max="7146" width="34.85546875" style="12" bestFit="1" customWidth="1"/>
    <col min="7147" max="7147" width="12" style="12" customWidth="1"/>
    <col min="7148" max="7148" width="12.5703125" style="12" customWidth="1"/>
    <col min="7149" max="7149" width="12.28515625" style="12" customWidth="1"/>
    <col min="7150" max="7150" width="11.28515625" style="12" customWidth="1"/>
    <col min="7151" max="7151" width="16.140625" style="12" customWidth="1"/>
    <col min="7152" max="7152" width="20.42578125" style="12" customWidth="1"/>
    <col min="7153" max="7401" width="9.140625" style="12"/>
    <col min="7402" max="7402" width="34.85546875" style="12" bestFit="1" customWidth="1"/>
    <col min="7403" max="7403" width="12" style="12" customWidth="1"/>
    <col min="7404" max="7404" width="12.5703125" style="12" customWidth="1"/>
    <col min="7405" max="7405" width="12.28515625" style="12" customWidth="1"/>
    <col min="7406" max="7406" width="11.28515625" style="12" customWidth="1"/>
    <col min="7407" max="7407" width="16.140625" style="12" customWidth="1"/>
    <col min="7408" max="7408" width="20.42578125" style="12" customWidth="1"/>
    <col min="7409" max="7657" width="9.140625" style="12"/>
    <col min="7658" max="7658" width="34.85546875" style="12" bestFit="1" customWidth="1"/>
    <col min="7659" max="7659" width="12" style="12" customWidth="1"/>
    <col min="7660" max="7660" width="12.5703125" style="12" customWidth="1"/>
    <col min="7661" max="7661" width="12.28515625" style="12" customWidth="1"/>
    <col min="7662" max="7662" width="11.28515625" style="12" customWidth="1"/>
    <col min="7663" max="7663" width="16.140625" style="12" customWidth="1"/>
    <col min="7664" max="7664" width="20.42578125" style="12" customWidth="1"/>
    <col min="7665" max="7913" width="9.140625" style="12"/>
    <col min="7914" max="7914" width="34.85546875" style="12" bestFit="1" customWidth="1"/>
    <col min="7915" max="7915" width="12" style="12" customWidth="1"/>
    <col min="7916" max="7916" width="12.5703125" style="12" customWidth="1"/>
    <col min="7917" max="7917" width="12.28515625" style="12" customWidth="1"/>
    <col min="7918" max="7918" width="11.28515625" style="12" customWidth="1"/>
    <col min="7919" max="7919" width="16.140625" style="12" customWidth="1"/>
    <col min="7920" max="7920" width="20.42578125" style="12" customWidth="1"/>
    <col min="7921" max="8169" width="9.140625" style="12"/>
    <col min="8170" max="8170" width="34.85546875" style="12" bestFit="1" customWidth="1"/>
    <col min="8171" max="8171" width="12" style="12" customWidth="1"/>
    <col min="8172" max="8172" width="12.5703125" style="12" customWidth="1"/>
    <col min="8173" max="8173" width="12.28515625" style="12" customWidth="1"/>
    <col min="8174" max="8174" width="11.28515625" style="12" customWidth="1"/>
    <col min="8175" max="8175" width="16.140625" style="12" customWidth="1"/>
    <col min="8176" max="8176" width="20.42578125" style="12" customWidth="1"/>
    <col min="8177" max="8425" width="9.140625" style="12"/>
    <col min="8426" max="8426" width="34.85546875" style="12" bestFit="1" customWidth="1"/>
    <col min="8427" max="8427" width="12" style="12" customWidth="1"/>
    <col min="8428" max="8428" width="12.5703125" style="12" customWidth="1"/>
    <col min="8429" max="8429" width="12.28515625" style="12" customWidth="1"/>
    <col min="8430" max="8430" width="11.28515625" style="12" customWidth="1"/>
    <col min="8431" max="8431" width="16.140625" style="12" customWidth="1"/>
    <col min="8432" max="8432" width="20.42578125" style="12" customWidth="1"/>
    <col min="8433" max="8681" width="9.140625" style="12"/>
    <col min="8682" max="8682" width="34.85546875" style="12" bestFit="1" customWidth="1"/>
    <col min="8683" max="8683" width="12" style="12" customWidth="1"/>
    <col min="8684" max="8684" width="12.5703125" style="12" customWidth="1"/>
    <col min="8685" max="8685" width="12.28515625" style="12" customWidth="1"/>
    <col min="8686" max="8686" width="11.28515625" style="12" customWidth="1"/>
    <col min="8687" max="8687" width="16.140625" style="12" customWidth="1"/>
    <col min="8688" max="8688" width="20.42578125" style="12" customWidth="1"/>
    <col min="8689" max="8937" width="9.140625" style="12"/>
    <col min="8938" max="8938" width="34.85546875" style="12" bestFit="1" customWidth="1"/>
    <col min="8939" max="8939" width="12" style="12" customWidth="1"/>
    <col min="8940" max="8940" width="12.5703125" style="12" customWidth="1"/>
    <col min="8941" max="8941" width="12.28515625" style="12" customWidth="1"/>
    <col min="8942" max="8942" width="11.28515625" style="12" customWidth="1"/>
    <col min="8943" max="8943" width="16.140625" style="12" customWidth="1"/>
    <col min="8944" max="8944" width="20.42578125" style="12" customWidth="1"/>
    <col min="8945" max="9193" width="9.140625" style="12"/>
    <col min="9194" max="9194" width="34.85546875" style="12" bestFit="1" customWidth="1"/>
    <col min="9195" max="9195" width="12" style="12" customWidth="1"/>
    <col min="9196" max="9196" width="12.5703125" style="12" customWidth="1"/>
    <col min="9197" max="9197" width="12.28515625" style="12" customWidth="1"/>
    <col min="9198" max="9198" width="11.28515625" style="12" customWidth="1"/>
    <col min="9199" max="9199" width="16.140625" style="12" customWidth="1"/>
    <col min="9200" max="9200" width="20.42578125" style="12" customWidth="1"/>
    <col min="9201" max="9449" width="9.140625" style="12"/>
    <col min="9450" max="9450" width="34.85546875" style="12" bestFit="1" customWidth="1"/>
    <col min="9451" max="9451" width="12" style="12" customWidth="1"/>
    <col min="9452" max="9452" width="12.5703125" style="12" customWidth="1"/>
    <col min="9453" max="9453" width="12.28515625" style="12" customWidth="1"/>
    <col min="9454" max="9454" width="11.28515625" style="12" customWidth="1"/>
    <col min="9455" max="9455" width="16.140625" style="12" customWidth="1"/>
    <col min="9456" max="9456" width="20.42578125" style="12" customWidth="1"/>
    <col min="9457" max="9705" width="9.140625" style="12"/>
    <col min="9706" max="9706" width="34.85546875" style="12" bestFit="1" customWidth="1"/>
    <col min="9707" max="9707" width="12" style="12" customWidth="1"/>
    <col min="9708" max="9708" width="12.5703125" style="12" customWidth="1"/>
    <col min="9709" max="9709" width="12.28515625" style="12" customWidth="1"/>
    <col min="9710" max="9710" width="11.28515625" style="12" customWidth="1"/>
    <col min="9711" max="9711" width="16.140625" style="12" customWidth="1"/>
    <col min="9712" max="9712" width="20.42578125" style="12" customWidth="1"/>
    <col min="9713" max="9961" width="9.140625" style="12"/>
    <col min="9962" max="9962" width="34.85546875" style="12" bestFit="1" customWidth="1"/>
    <col min="9963" max="9963" width="12" style="12" customWidth="1"/>
    <col min="9964" max="9964" width="12.5703125" style="12" customWidth="1"/>
    <col min="9965" max="9965" width="12.28515625" style="12" customWidth="1"/>
    <col min="9966" max="9966" width="11.28515625" style="12" customWidth="1"/>
    <col min="9967" max="9967" width="16.140625" style="12" customWidth="1"/>
    <col min="9968" max="9968" width="20.42578125" style="12" customWidth="1"/>
    <col min="9969" max="10217" width="9.140625" style="12"/>
    <col min="10218" max="10218" width="34.85546875" style="12" bestFit="1" customWidth="1"/>
    <col min="10219" max="10219" width="12" style="12" customWidth="1"/>
    <col min="10220" max="10220" width="12.5703125" style="12" customWidth="1"/>
    <col min="10221" max="10221" width="12.28515625" style="12" customWidth="1"/>
    <col min="10222" max="10222" width="11.28515625" style="12" customWidth="1"/>
    <col min="10223" max="10223" width="16.140625" style="12" customWidth="1"/>
    <col min="10224" max="10224" width="20.42578125" style="12" customWidth="1"/>
    <col min="10225" max="10473" width="9.140625" style="12"/>
    <col min="10474" max="10474" width="34.85546875" style="12" bestFit="1" customWidth="1"/>
    <col min="10475" max="10475" width="12" style="12" customWidth="1"/>
    <col min="10476" max="10476" width="12.5703125" style="12" customWidth="1"/>
    <col min="10477" max="10477" width="12.28515625" style="12" customWidth="1"/>
    <col min="10478" max="10478" width="11.28515625" style="12" customWidth="1"/>
    <col min="10479" max="10479" width="16.140625" style="12" customWidth="1"/>
    <col min="10480" max="10480" width="20.42578125" style="12" customWidth="1"/>
    <col min="10481" max="10729" width="9.140625" style="12"/>
    <col min="10730" max="10730" width="34.85546875" style="12" bestFit="1" customWidth="1"/>
    <col min="10731" max="10731" width="12" style="12" customWidth="1"/>
    <col min="10732" max="10732" width="12.5703125" style="12" customWidth="1"/>
    <col min="10733" max="10733" width="12.28515625" style="12" customWidth="1"/>
    <col min="10734" max="10734" width="11.28515625" style="12" customWidth="1"/>
    <col min="10735" max="10735" width="16.140625" style="12" customWidth="1"/>
    <col min="10736" max="10736" width="20.42578125" style="12" customWidth="1"/>
    <col min="10737" max="10985" width="9.140625" style="12"/>
    <col min="10986" max="10986" width="34.85546875" style="12" bestFit="1" customWidth="1"/>
    <col min="10987" max="10987" width="12" style="12" customWidth="1"/>
    <col min="10988" max="10988" width="12.5703125" style="12" customWidth="1"/>
    <col min="10989" max="10989" width="12.28515625" style="12" customWidth="1"/>
    <col min="10990" max="10990" width="11.28515625" style="12" customWidth="1"/>
    <col min="10991" max="10991" width="16.140625" style="12" customWidth="1"/>
    <col min="10992" max="10992" width="20.42578125" style="12" customWidth="1"/>
    <col min="10993" max="11241" width="9.140625" style="12"/>
    <col min="11242" max="11242" width="34.85546875" style="12" bestFit="1" customWidth="1"/>
    <col min="11243" max="11243" width="12" style="12" customWidth="1"/>
    <col min="11244" max="11244" width="12.5703125" style="12" customWidth="1"/>
    <col min="11245" max="11245" width="12.28515625" style="12" customWidth="1"/>
    <col min="11246" max="11246" width="11.28515625" style="12" customWidth="1"/>
    <col min="11247" max="11247" width="16.140625" style="12" customWidth="1"/>
    <col min="11248" max="11248" width="20.42578125" style="12" customWidth="1"/>
    <col min="11249" max="11497" width="9.140625" style="12"/>
    <col min="11498" max="11498" width="34.85546875" style="12" bestFit="1" customWidth="1"/>
    <col min="11499" max="11499" width="12" style="12" customWidth="1"/>
    <col min="11500" max="11500" width="12.5703125" style="12" customWidth="1"/>
    <col min="11501" max="11501" width="12.28515625" style="12" customWidth="1"/>
    <col min="11502" max="11502" width="11.28515625" style="12" customWidth="1"/>
    <col min="11503" max="11503" width="16.140625" style="12" customWidth="1"/>
    <col min="11504" max="11504" width="20.42578125" style="12" customWidth="1"/>
    <col min="11505" max="11753" width="9.140625" style="12"/>
    <col min="11754" max="11754" width="34.85546875" style="12" bestFit="1" customWidth="1"/>
    <col min="11755" max="11755" width="12" style="12" customWidth="1"/>
    <col min="11756" max="11756" width="12.5703125" style="12" customWidth="1"/>
    <col min="11757" max="11757" width="12.28515625" style="12" customWidth="1"/>
    <col min="11758" max="11758" width="11.28515625" style="12" customWidth="1"/>
    <col min="11759" max="11759" width="16.140625" style="12" customWidth="1"/>
    <col min="11760" max="11760" width="20.42578125" style="12" customWidth="1"/>
    <col min="11761" max="12009" width="9.140625" style="12"/>
    <col min="12010" max="12010" width="34.85546875" style="12" bestFit="1" customWidth="1"/>
    <col min="12011" max="12011" width="12" style="12" customWidth="1"/>
    <col min="12012" max="12012" width="12.5703125" style="12" customWidth="1"/>
    <col min="12013" max="12013" width="12.28515625" style="12" customWidth="1"/>
    <col min="12014" max="12014" width="11.28515625" style="12" customWidth="1"/>
    <col min="12015" max="12015" width="16.140625" style="12" customWidth="1"/>
    <col min="12016" max="12016" width="20.42578125" style="12" customWidth="1"/>
    <col min="12017" max="12265" width="9.140625" style="12"/>
    <col min="12266" max="12266" width="34.85546875" style="12" bestFit="1" customWidth="1"/>
    <col min="12267" max="12267" width="12" style="12" customWidth="1"/>
    <col min="12268" max="12268" width="12.5703125" style="12" customWidth="1"/>
    <col min="12269" max="12269" width="12.28515625" style="12" customWidth="1"/>
    <col min="12270" max="12270" width="11.28515625" style="12" customWidth="1"/>
    <col min="12271" max="12271" width="16.140625" style="12" customWidth="1"/>
    <col min="12272" max="12272" width="20.42578125" style="12" customWidth="1"/>
    <col min="12273" max="12521" width="9.140625" style="12"/>
    <col min="12522" max="12522" width="34.85546875" style="12" bestFit="1" customWidth="1"/>
    <col min="12523" max="12523" width="12" style="12" customWidth="1"/>
    <col min="12524" max="12524" width="12.5703125" style="12" customWidth="1"/>
    <col min="12525" max="12525" width="12.28515625" style="12" customWidth="1"/>
    <col min="12526" max="12526" width="11.28515625" style="12" customWidth="1"/>
    <col min="12527" max="12527" width="16.140625" style="12" customWidth="1"/>
    <col min="12528" max="12528" width="20.42578125" style="12" customWidth="1"/>
    <col min="12529" max="12777" width="9.140625" style="12"/>
    <col min="12778" max="12778" width="34.85546875" style="12" bestFit="1" customWidth="1"/>
    <col min="12779" max="12779" width="12" style="12" customWidth="1"/>
    <col min="12780" max="12780" width="12.5703125" style="12" customWidth="1"/>
    <col min="12781" max="12781" width="12.28515625" style="12" customWidth="1"/>
    <col min="12782" max="12782" width="11.28515625" style="12" customWidth="1"/>
    <col min="12783" max="12783" width="16.140625" style="12" customWidth="1"/>
    <col min="12784" max="12784" width="20.42578125" style="12" customWidth="1"/>
    <col min="12785" max="13033" width="9.140625" style="12"/>
    <col min="13034" max="13034" width="34.85546875" style="12" bestFit="1" customWidth="1"/>
    <col min="13035" max="13035" width="12" style="12" customWidth="1"/>
    <col min="13036" max="13036" width="12.5703125" style="12" customWidth="1"/>
    <col min="13037" max="13037" width="12.28515625" style="12" customWidth="1"/>
    <col min="13038" max="13038" width="11.28515625" style="12" customWidth="1"/>
    <col min="13039" max="13039" width="16.140625" style="12" customWidth="1"/>
    <col min="13040" max="13040" width="20.42578125" style="12" customWidth="1"/>
    <col min="13041" max="13289" width="9.140625" style="12"/>
    <col min="13290" max="13290" width="34.85546875" style="12" bestFit="1" customWidth="1"/>
    <col min="13291" max="13291" width="12" style="12" customWidth="1"/>
    <col min="13292" max="13292" width="12.5703125" style="12" customWidth="1"/>
    <col min="13293" max="13293" width="12.28515625" style="12" customWidth="1"/>
    <col min="13294" max="13294" width="11.28515625" style="12" customWidth="1"/>
    <col min="13295" max="13295" width="16.140625" style="12" customWidth="1"/>
    <col min="13296" max="13296" width="20.42578125" style="12" customWidth="1"/>
    <col min="13297" max="13545" width="9.140625" style="12"/>
    <col min="13546" max="13546" width="34.85546875" style="12" bestFit="1" customWidth="1"/>
    <col min="13547" max="13547" width="12" style="12" customWidth="1"/>
    <col min="13548" max="13548" width="12.5703125" style="12" customWidth="1"/>
    <col min="13549" max="13549" width="12.28515625" style="12" customWidth="1"/>
    <col min="13550" max="13550" width="11.28515625" style="12" customWidth="1"/>
    <col min="13551" max="13551" width="16.140625" style="12" customWidth="1"/>
    <col min="13552" max="13552" width="20.42578125" style="12" customWidth="1"/>
    <col min="13553" max="13801" width="9.140625" style="12"/>
    <col min="13802" max="13802" width="34.85546875" style="12" bestFit="1" customWidth="1"/>
    <col min="13803" max="13803" width="12" style="12" customWidth="1"/>
    <col min="13804" max="13804" width="12.5703125" style="12" customWidth="1"/>
    <col min="13805" max="13805" width="12.28515625" style="12" customWidth="1"/>
    <col min="13806" max="13806" width="11.28515625" style="12" customWidth="1"/>
    <col min="13807" max="13807" width="16.140625" style="12" customWidth="1"/>
    <col min="13808" max="13808" width="20.42578125" style="12" customWidth="1"/>
    <col min="13809" max="14057" width="9.140625" style="12"/>
    <col min="14058" max="14058" width="34.85546875" style="12" bestFit="1" customWidth="1"/>
    <col min="14059" max="14059" width="12" style="12" customWidth="1"/>
    <col min="14060" max="14060" width="12.5703125" style="12" customWidth="1"/>
    <col min="14061" max="14061" width="12.28515625" style="12" customWidth="1"/>
    <col min="14062" max="14062" width="11.28515625" style="12" customWidth="1"/>
    <col min="14063" max="14063" width="16.140625" style="12" customWidth="1"/>
    <col min="14064" max="14064" width="20.42578125" style="12" customWidth="1"/>
    <col min="14065" max="14313" width="9.140625" style="12"/>
    <col min="14314" max="14314" width="34.85546875" style="12" bestFit="1" customWidth="1"/>
    <col min="14315" max="14315" width="12" style="12" customWidth="1"/>
    <col min="14316" max="14316" width="12.5703125" style="12" customWidth="1"/>
    <col min="14317" max="14317" width="12.28515625" style="12" customWidth="1"/>
    <col min="14318" max="14318" width="11.28515625" style="12" customWidth="1"/>
    <col min="14319" max="14319" width="16.140625" style="12" customWidth="1"/>
    <col min="14320" max="14320" width="20.42578125" style="12" customWidth="1"/>
    <col min="14321" max="14569" width="9.140625" style="12"/>
    <col min="14570" max="14570" width="34.85546875" style="12" bestFit="1" customWidth="1"/>
    <col min="14571" max="14571" width="12" style="12" customWidth="1"/>
    <col min="14572" max="14572" width="12.5703125" style="12" customWidth="1"/>
    <col min="14573" max="14573" width="12.28515625" style="12" customWidth="1"/>
    <col min="14574" max="14574" width="11.28515625" style="12" customWidth="1"/>
    <col min="14575" max="14575" width="16.140625" style="12" customWidth="1"/>
    <col min="14576" max="14576" width="20.42578125" style="12" customWidth="1"/>
    <col min="14577" max="14825" width="9.140625" style="12"/>
    <col min="14826" max="14826" width="34.85546875" style="12" bestFit="1" customWidth="1"/>
    <col min="14827" max="14827" width="12" style="12" customWidth="1"/>
    <col min="14828" max="14828" width="12.5703125" style="12" customWidth="1"/>
    <col min="14829" max="14829" width="12.28515625" style="12" customWidth="1"/>
    <col min="14830" max="14830" width="11.28515625" style="12" customWidth="1"/>
    <col min="14831" max="14831" width="16.140625" style="12" customWidth="1"/>
    <col min="14832" max="14832" width="20.42578125" style="12" customWidth="1"/>
    <col min="14833" max="15081" width="9.140625" style="12"/>
    <col min="15082" max="15082" width="34.85546875" style="12" bestFit="1" customWidth="1"/>
    <col min="15083" max="15083" width="12" style="12" customWidth="1"/>
    <col min="15084" max="15084" width="12.5703125" style="12" customWidth="1"/>
    <col min="15085" max="15085" width="12.28515625" style="12" customWidth="1"/>
    <col min="15086" max="15086" width="11.28515625" style="12" customWidth="1"/>
    <col min="15087" max="15087" width="16.140625" style="12" customWidth="1"/>
    <col min="15088" max="15088" width="20.42578125" style="12" customWidth="1"/>
    <col min="15089" max="15337" width="9.140625" style="12"/>
    <col min="15338" max="15338" width="34.85546875" style="12" bestFit="1" customWidth="1"/>
    <col min="15339" max="15339" width="12" style="12" customWidth="1"/>
    <col min="15340" max="15340" width="12.5703125" style="12" customWidth="1"/>
    <col min="15341" max="15341" width="12.28515625" style="12" customWidth="1"/>
    <col min="15342" max="15342" width="11.28515625" style="12" customWidth="1"/>
    <col min="15343" max="15343" width="16.140625" style="12" customWidth="1"/>
    <col min="15344" max="15344" width="20.42578125" style="12" customWidth="1"/>
    <col min="15345" max="15593" width="9.140625" style="12"/>
    <col min="15594" max="15594" width="34.85546875" style="12" bestFit="1" customWidth="1"/>
    <col min="15595" max="15595" width="12" style="12" customWidth="1"/>
    <col min="15596" max="15596" width="12.5703125" style="12" customWidth="1"/>
    <col min="15597" max="15597" width="12.28515625" style="12" customWidth="1"/>
    <col min="15598" max="15598" width="11.28515625" style="12" customWidth="1"/>
    <col min="15599" max="15599" width="16.140625" style="12" customWidth="1"/>
    <col min="15600" max="15600" width="20.42578125" style="12" customWidth="1"/>
    <col min="15601" max="15849" width="9.140625" style="12"/>
    <col min="15850" max="15850" width="34.85546875" style="12" bestFit="1" customWidth="1"/>
    <col min="15851" max="15851" width="12" style="12" customWidth="1"/>
    <col min="15852" max="15852" width="12.5703125" style="12" customWidth="1"/>
    <col min="15853" max="15853" width="12.28515625" style="12" customWidth="1"/>
    <col min="15854" max="15854" width="11.28515625" style="12" customWidth="1"/>
    <col min="15855" max="15855" width="16.140625" style="12" customWidth="1"/>
    <col min="15856" max="15856" width="20.42578125" style="12" customWidth="1"/>
    <col min="15857" max="16105" width="9.140625" style="12"/>
    <col min="16106" max="16106" width="34.85546875" style="12" bestFit="1" customWidth="1"/>
    <col min="16107" max="16107" width="12" style="12" customWidth="1"/>
    <col min="16108" max="16108" width="12.5703125" style="12" customWidth="1"/>
    <col min="16109" max="16109" width="12.28515625" style="12" customWidth="1"/>
    <col min="16110" max="16110" width="11.28515625" style="12" customWidth="1"/>
    <col min="16111" max="16111" width="16.140625" style="12" customWidth="1"/>
    <col min="16112" max="16112" width="20.42578125" style="12" customWidth="1"/>
    <col min="16113" max="16384" width="9.140625" style="12"/>
  </cols>
  <sheetData>
    <row r="1" spans="1:7" ht="33.75" customHeight="1" x14ac:dyDescent="0.35">
      <c r="A1" s="139" t="s">
        <v>135</v>
      </c>
      <c r="B1" s="139"/>
      <c r="C1" s="139"/>
      <c r="D1" s="139"/>
      <c r="E1" s="139"/>
      <c r="F1" s="139"/>
      <c r="G1" s="139"/>
    </row>
    <row r="2" spans="1:7" ht="15" x14ac:dyDescent="0.3">
      <c r="A2" s="108" t="s">
        <v>141</v>
      </c>
      <c r="B2" s="108"/>
      <c r="C2" s="108"/>
      <c r="D2" s="108"/>
      <c r="E2" s="108"/>
      <c r="F2" s="108"/>
      <c r="G2" s="108"/>
    </row>
    <row r="3" spans="1:7" ht="63" customHeight="1" x14ac:dyDescent="0.3">
      <c r="A3" s="108"/>
      <c r="B3" s="108"/>
      <c r="C3" s="108"/>
      <c r="D3" s="108"/>
      <c r="E3" s="108"/>
      <c r="F3" s="108"/>
      <c r="G3" s="108"/>
    </row>
    <row r="4" spans="1:7" x14ac:dyDescent="0.35">
      <c r="A4" s="109" t="s">
        <v>121</v>
      </c>
      <c r="B4" s="109"/>
      <c r="C4" s="109"/>
      <c r="D4" s="109"/>
      <c r="E4" s="109"/>
      <c r="F4" s="109"/>
      <c r="G4" s="109"/>
    </row>
    <row r="5" spans="1:7" x14ac:dyDescent="0.35">
      <c r="A5" s="69" t="s">
        <v>1</v>
      </c>
    </row>
    <row r="6" spans="1:7" ht="24.75" customHeight="1" x14ac:dyDescent="0.3">
      <c r="A6" s="110" t="s">
        <v>122</v>
      </c>
      <c r="B6" s="110"/>
      <c r="C6" s="110"/>
      <c r="D6" s="110"/>
      <c r="E6" s="110"/>
      <c r="F6" s="110"/>
      <c r="G6" s="110"/>
    </row>
    <row r="7" spans="1:7" ht="37.5" customHeight="1" x14ac:dyDescent="0.3">
      <c r="A7" s="111" t="s">
        <v>2</v>
      </c>
      <c r="B7" s="111" t="s">
        <v>3</v>
      </c>
      <c r="C7" s="111"/>
      <c r="D7" s="113" t="s">
        <v>4</v>
      </c>
      <c r="E7" s="113" t="s">
        <v>5</v>
      </c>
      <c r="F7" s="111" t="s">
        <v>6</v>
      </c>
      <c r="G7" s="34" t="s">
        <v>7</v>
      </c>
    </row>
    <row r="8" spans="1:7" x14ac:dyDescent="0.3">
      <c r="A8" s="111"/>
      <c r="B8" s="34" t="s">
        <v>8</v>
      </c>
      <c r="C8" s="34" t="s">
        <v>9</v>
      </c>
      <c r="D8" s="114"/>
      <c r="E8" s="114"/>
      <c r="F8" s="111"/>
      <c r="G8" s="34" t="s">
        <v>10</v>
      </c>
    </row>
    <row r="9" spans="1:7" x14ac:dyDescent="0.3">
      <c r="A9" s="54" t="s">
        <v>20</v>
      </c>
      <c r="B9" s="25">
        <v>2</v>
      </c>
      <c r="C9" s="25">
        <f>B9*48</f>
        <v>96</v>
      </c>
      <c r="D9" s="25">
        <f>12.7%*C9</f>
        <v>12.192</v>
      </c>
      <c r="E9" s="25">
        <f>11.5%*C9</f>
        <v>11.040000000000001</v>
      </c>
      <c r="F9" s="25"/>
      <c r="G9" s="25">
        <f>4*(D9+F9)+9*E9</f>
        <v>148.12800000000001</v>
      </c>
    </row>
    <row r="10" spans="1:7" ht="36" x14ac:dyDescent="0.3">
      <c r="A10" s="71" t="s">
        <v>19</v>
      </c>
      <c r="B10" s="25">
        <v>10</v>
      </c>
      <c r="C10" s="25">
        <f>100%*B10</f>
        <v>10</v>
      </c>
      <c r="D10" s="25"/>
      <c r="E10" s="25">
        <f>72.57%*C10</f>
        <v>7.2569999999999988</v>
      </c>
      <c r="F10" s="25"/>
      <c r="G10" s="25">
        <f>4*(D10+F10)+9*E10</f>
        <v>65.312999999999988</v>
      </c>
    </row>
    <row r="11" spans="1:7" x14ac:dyDescent="0.3">
      <c r="A11" s="71" t="s">
        <v>45</v>
      </c>
      <c r="B11" s="25">
        <v>50</v>
      </c>
      <c r="C11" s="25">
        <f>80%*B11</f>
        <v>40</v>
      </c>
      <c r="D11" s="25">
        <f>1.77%*C11</f>
        <v>0.70799999999999996</v>
      </c>
      <c r="E11" s="25"/>
      <c r="F11" s="25">
        <f>11%*C11</f>
        <v>4.4000000000000004</v>
      </c>
      <c r="G11" s="25">
        <f>4*(D11+F11)+9*E11</f>
        <v>20.432000000000002</v>
      </c>
    </row>
    <row r="12" spans="1:7" x14ac:dyDescent="0.3">
      <c r="A12" s="71" t="s">
        <v>39</v>
      </c>
      <c r="B12" s="25">
        <v>10</v>
      </c>
      <c r="C12" s="25">
        <f t="shared" ref="C12" si="0">100%*B12</f>
        <v>10</v>
      </c>
      <c r="D12" s="25">
        <f>6.97%*C12</f>
        <v>0.69699999999999995</v>
      </c>
      <c r="E12" s="25">
        <f>8.13%*C12</f>
        <v>0.81300000000000017</v>
      </c>
      <c r="F12" s="25">
        <f>9.8%*B12</f>
        <v>0.98</v>
      </c>
      <c r="G12" s="25">
        <f t="shared" ref="G12" si="1">4*(D12+F12)+9*E12</f>
        <v>14.025000000000002</v>
      </c>
    </row>
    <row r="13" spans="1:7" x14ac:dyDescent="0.3">
      <c r="A13" s="54" t="s">
        <v>15</v>
      </c>
      <c r="B13" s="25">
        <v>1</v>
      </c>
      <c r="C13" s="25">
        <f>100%*B13</f>
        <v>1</v>
      </c>
      <c r="D13" s="25"/>
      <c r="E13" s="25"/>
      <c r="F13" s="25"/>
      <c r="G13" s="25">
        <f>4*(D13+F13)+9*E13</f>
        <v>0</v>
      </c>
    </row>
    <row r="14" spans="1:7" s="15" customFormat="1" x14ac:dyDescent="0.2">
      <c r="A14" s="38" t="s">
        <v>16</v>
      </c>
      <c r="B14" s="115">
        <v>120</v>
      </c>
      <c r="C14" s="116"/>
      <c r="D14" s="26">
        <f>SUM(D9:D13)</f>
        <v>13.597</v>
      </c>
      <c r="E14" s="26">
        <f>SUM(E9:E13)</f>
        <v>19.11</v>
      </c>
      <c r="F14" s="26">
        <f>SUM(F9:F13)</f>
        <v>5.3800000000000008</v>
      </c>
      <c r="G14" s="26">
        <f>SUM(G9:G13)</f>
        <v>247.898</v>
      </c>
    </row>
    <row r="18" spans="1:7" x14ac:dyDescent="0.3">
      <c r="A18" s="110" t="s">
        <v>29</v>
      </c>
      <c r="B18" s="110"/>
      <c r="C18" s="110"/>
      <c r="D18" s="110"/>
      <c r="E18" s="110"/>
      <c r="F18" s="110"/>
      <c r="G18" s="110"/>
    </row>
    <row r="19" spans="1:7" ht="36" x14ac:dyDescent="0.3">
      <c r="A19" s="111" t="s">
        <v>2</v>
      </c>
      <c r="B19" s="111" t="s">
        <v>3</v>
      </c>
      <c r="C19" s="111"/>
      <c r="D19" s="113" t="s">
        <v>4</v>
      </c>
      <c r="E19" s="113" t="s">
        <v>5</v>
      </c>
      <c r="F19" s="111" t="s">
        <v>6</v>
      </c>
      <c r="G19" s="34" t="s">
        <v>7</v>
      </c>
    </row>
    <row r="20" spans="1:7" x14ac:dyDescent="0.3">
      <c r="A20" s="111"/>
      <c r="B20" s="34" t="s">
        <v>8</v>
      </c>
      <c r="C20" s="34" t="s">
        <v>9</v>
      </c>
      <c r="D20" s="114"/>
      <c r="E20" s="114"/>
      <c r="F20" s="111"/>
      <c r="G20" s="34" t="s">
        <v>10</v>
      </c>
    </row>
    <row r="21" spans="1:7" x14ac:dyDescent="0.3">
      <c r="A21" s="71" t="s">
        <v>29</v>
      </c>
      <c r="B21" s="25">
        <v>1</v>
      </c>
      <c r="C21" s="25">
        <f t="shared" ref="C21" si="2">100%*B21</f>
        <v>1</v>
      </c>
      <c r="D21" s="25"/>
      <c r="E21" s="25"/>
      <c r="F21" s="25"/>
      <c r="G21" s="25">
        <f t="shared" ref="G21" si="3">4*(D21+F21)+9*E21</f>
        <v>0</v>
      </c>
    </row>
    <row r="22" spans="1:7" x14ac:dyDescent="0.3">
      <c r="A22" s="54" t="s">
        <v>22</v>
      </c>
      <c r="B22" s="25">
        <v>20</v>
      </c>
      <c r="C22" s="25">
        <f>100%*B22</f>
        <v>20</v>
      </c>
      <c r="D22" s="25"/>
      <c r="E22" s="25"/>
      <c r="F22" s="25">
        <f>99%*C22</f>
        <v>19.8</v>
      </c>
      <c r="G22" s="25">
        <f>4*(D22+F22)+9*E22</f>
        <v>79.2</v>
      </c>
    </row>
    <row r="23" spans="1:7" x14ac:dyDescent="0.3">
      <c r="A23" s="38" t="s">
        <v>16</v>
      </c>
      <c r="B23" s="115">
        <v>250</v>
      </c>
      <c r="C23" s="116"/>
      <c r="D23" s="26">
        <f>SUM(D21:D22)</f>
        <v>0</v>
      </c>
      <c r="E23" s="26">
        <f>SUM(E21:E22)</f>
        <v>0</v>
      </c>
      <c r="F23" s="26">
        <f>SUM(F21:F22)</f>
        <v>19.8</v>
      </c>
      <c r="G23" s="26">
        <f>SUM(G21:G22)</f>
        <v>79.2</v>
      </c>
    </row>
    <row r="28" spans="1:7" x14ac:dyDescent="0.35">
      <c r="A28" s="69" t="s">
        <v>123</v>
      </c>
    </row>
    <row r="29" spans="1:7" ht="36" x14ac:dyDescent="0.3">
      <c r="A29" s="111" t="s">
        <v>2</v>
      </c>
      <c r="B29" s="111" t="s">
        <v>3</v>
      </c>
      <c r="C29" s="111"/>
      <c r="D29" s="113" t="s">
        <v>4</v>
      </c>
      <c r="E29" s="113" t="s">
        <v>5</v>
      </c>
      <c r="F29" s="111" t="s">
        <v>6</v>
      </c>
      <c r="G29" s="34" t="s">
        <v>7</v>
      </c>
    </row>
    <row r="30" spans="1:7" x14ac:dyDescent="0.3">
      <c r="A30" s="111"/>
      <c r="B30" s="34" t="s">
        <v>8</v>
      </c>
      <c r="C30" s="34" t="s">
        <v>9</v>
      </c>
      <c r="D30" s="114"/>
      <c r="E30" s="114"/>
      <c r="F30" s="111"/>
      <c r="G30" s="34" t="s">
        <v>10</v>
      </c>
    </row>
    <row r="31" spans="1:7" x14ac:dyDescent="0.3">
      <c r="A31" s="54" t="s">
        <v>17</v>
      </c>
      <c r="B31" s="25">
        <v>80</v>
      </c>
      <c r="C31" s="25">
        <f>B31*100%</f>
        <v>80</v>
      </c>
      <c r="D31" s="25">
        <f>C31*10%</f>
        <v>8</v>
      </c>
      <c r="E31" s="25">
        <f>C31*1.3%</f>
        <v>1.04</v>
      </c>
      <c r="F31" s="25">
        <f>C31*69%</f>
        <v>55.199999999999996</v>
      </c>
      <c r="G31" s="25">
        <f t="shared" ref="G31:G36" si="4">4*(D31+F31)+9*E31</f>
        <v>262.15999999999997</v>
      </c>
    </row>
    <row r="32" spans="1:7" x14ac:dyDescent="0.3">
      <c r="A32" s="54" t="s">
        <v>12</v>
      </c>
      <c r="B32" s="25">
        <v>72</v>
      </c>
      <c r="C32" s="25">
        <f>80%*B32</f>
        <v>57.6</v>
      </c>
      <c r="D32" s="25">
        <f>17.9%*C32</f>
        <v>10.3104</v>
      </c>
      <c r="E32" s="25">
        <f>14.3%*C32</f>
        <v>8.2368000000000006</v>
      </c>
      <c r="F32" s="25"/>
      <c r="G32" s="25">
        <f t="shared" si="4"/>
        <v>115.37280000000001</v>
      </c>
    </row>
    <row r="33" spans="1:7" x14ac:dyDescent="0.3">
      <c r="A33" s="54" t="s">
        <v>20</v>
      </c>
      <c r="B33" s="25">
        <v>0.25</v>
      </c>
      <c r="C33" s="25">
        <f>B33*48</f>
        <v>12</v>
      </c>
      <c r="D33" s="25">
        <f>12.7%*C33</f>
        <v>1.524</v>
      </c>
      <c r="E33" s="25">
        <f>11.5%*C33</f>
        <v>1.3800000000000001</v>
      </c>
      <c r="F33" s="25"/>
      <c r="G33" s="25">
        <f t="shared" si="4"/>
        <v>18.516000000000002</v>
      </c>
    </row>
    <row r="34" spans="1:7" x14ac:dyDescent="0.3">
      <c r="A34" s="54" t="s">
        <v>66</v>
      </c>
      <c r="B34" s="25">
        <v>1</v>
      </c>
      <c r="C34" s="25">
        <f>100%*B34</f>
        <v>1</v>
      </c>
      <c r="D34" s="25"/>
      <c r="E34" s="25"/>
      <c r="F34" s="25"/>
      <c r="G34" s="25">
        <f t="shared" si="4"/>
        <v>0</v>
      </c>
    </row>
    <row r="35" spans="1:7" ht="36" x14ac:dyDescent="0.3">
      <c r="A35" s="54" t="s">
        <v>19</v>
      </c>
      <c r="B35" s="25">
        <v>5</v>
      </c>
      <c r="C35" s="25">
        <f>100%*B35</f>
        <v>5</v>
      </c>
      <c r="D35" s="25"/>
      <c r="E35" s="25">
        <f>72.57%*C35</f>
        <v>3.6284999999999994</v>
      </c>
      <c r="F35" s="25"/>
      <c r="G35" s="25">
        <f>4*(D35+F35)+9*E35</f>
        <v>32.656499999999994</v>
      </c>
    </row>
    <row r="36" spans="1:7" x14ac:dyDescent="0.3">
      <c r="A36" s="54" t="s">
        <v>15</v>
      </c>
      <c r="B36" s="25">
        <v>1</v>
      </c>
      <c r="C36" s="25">
        <f>100%*B36</f>
        <v>1</v>
      </c>
      <c r="D36" s="25"/>
      <c r="E36" s="25"/>
      <c r="F36" s="25"/>
      <c r="G36" s="25">
        <f t="shared" si="4"/>
        <v>0</v>
      </c>
    </row>
    <row r="37" spans="1:7" x14ac:dyDescent="0.3">
      <c r="A37" s="38" t="s">
        <v>16</v>
      </c>
      <c r="B37" s="115">
        <v>160</v>
      </c>
      <c r="C37" s="116"/>
      <c r="D37" s="26">
        <f>SUM(D31:D36)</f>
        <v>19.834400000000002</v>
      </c>
      <c r="E37" s="26">
        <f>SUM(E31:E36)</f>
        <v>14.285300000000001</v>
      </c>
      <c r="F37" s="26">
        <f>SUM(F31:F36)</f>
        <v>55.199999999999996</v>
      </c>
      <c r="G37" s="26">
        <f>SUM(G31:G36)</f>
        <v>428.70529999999997</v>
      </c>
    </row>
    <row r="38" spans="1:7" x14ac:dyDescent="0.3">
      <c r="A38" s="57" t="s">
        <v>13</v>
      </c>
      <c r="B38" s="26">
        <v>300</v>
      </c>
      <c r="C38" s="26">
        <f>B38*100%</f>
        <v>300</v>
      </c>
      <c r="D38" s="26">
        <f>C38*7.9%</f>
        <v>23.7</v>
      </c>
      <c r="E38" s="26">
        <f>C38*1%</f>
        <v>3</v>
      </c>
      <c r="F38" s="26">
        <f>C38*49.6%</f>
        <v>148.80000000000001</v>
      </c>
      <c r="G38" s="26">
        <f>4*(D38+F38)+9*E38</f>
        <v>717</v>
      </c>
    </row>
    <row r="39" spans="1:7" x14ac:dyDescent="0.3">
      <c r="A39" s="38" t="s">
        <v>34</v>
      </c>
      <c r="B39" s="117">
        <f>B14+B23+B37+B38</f>
        <v>830</v>
      </c>
      <c r="C39" s="116"/>
      <c r="D39" s="26">
        <f t="shared" ref="D39:F39" si="5">D14+D23+D37+D38</f>
        <v>57.131399999999999</v>
      </c>
      <c r="E39" s="26">
        <f t="shared" si="5"/>
        <v>36.395299999999999</v>
      </c>
      <c r="F39" s="26">
        <f t="shared" si="5"/>
        <v>229.18</v>
      </c>
      <c r="G39" s="26">
        <f>G14+G23+G37+G38</f>
        <v>1472.8033</v>
      </c>
    </row>
    <row r="43" spans="1:7" x14ac:dyDescent="0.35">
      <c r="A43" s="69" t="s">
        <v>37</v>
      </c>
    </row>
    <row r="44" spans="1:7" x14ac:dyDescent="0.3">
      <c r="A44" s="110" t="s">
        <v>124</v>
      </c>
      <c r="B44" s="110"/>
      <c r="C44" s="110"/>
      <c r="D44" s="110"/>
      <c r="E44" s="110"/>
      <c r="F44" s="110"/>
      <c r="G44" s="110"/>
    </row>
    <row r="45" spans="1:7" ht="36" x14ac:dyDescent="0.3">
      <c r="A45" s="111" t="s">
        <v>2</v>
      </c>
      <c r="B45" s="111" t="s">
        <v>3</v>
      </c>
      <c r="C45" s="111"/>
      <c r="D45" s="113" t="s">
        <v>4</v>
      </c>
      <c r="E45" s="113" t="s">
        <v>5</v>
      </c>
      <c r="F45" s="111" t="s">
        <v>6</v>
      </c>
      <c r="G45" s="34" t="s">
        <v>7</v>
      </c>
    </row>
    <row r="46" spans="1:7" x14ac:dyDescent="0.3">
      <c r="A46" s="111"/>
      <c r="B46" s="34" t="s">
        <v>8</v>
      </c>
      <c r="C46" s="34" t="s">
        <v>9</v>
      </c>
      <c r="D46" s="114"/>
      <c r="E46" s="114"/>
      <c r="F46" s="111"/>
      <c r="G46" s="34" t="s">
        <v>10</v>
      </c>
    </row>
    <row r="47" spans="1:7" ht="36" x14ac:dyDescent="0.3">
      <c r="A47" s="54" t="s">
        <v>30</v>
      </c>
      <c r="B47" s="25">
        <v>100</v>
      </c>
      <c r="C47" s="25">
        <f>B47*75%</f>
        <v>75</v>
      </c>
      <c r="D47" s="25">
        <f>18.6%*C47</f>
        <v>13.950000000000003</v>
      </c>
      <c r="E47" s="25">
        <f>17.3%*C47</f>
        <v>12.975000000000001</v>
      </c>
      <c r="F47" s="25"/>
      <c r="G47" s="25">
        <f>4*(D47+F47)+9*E47</f>
        <v>172.57500000000002</v>
      </c>
    </row>
    <row r="48" spans="1:7" x14ac:dyDescent="0.3">
      <c r="A48" s="54" t="s">
        <v>13</v>
      </c>
      <c r="B48" s="25">
        <v>10</v>
      </c>
      <c r="C48" s="25">
        <f>B48*100%</f>
        <v>10</v>
      </c>
      <c r="D48" s="25">
        <f>C48*7.9%</f>
        <v>0.79</v>
      </c>
      <c r="E48" s="25">
        <f>C48*1%</f>
        <v>0.1</v>
      </c>
      <c r="F48" s="25">
        <f>C48*49.6%</f>
        <v>4.96</v>
      </c>
      <c r="G48" s="25">
        <f>4*(D48+F48)+9*E48</f>
        <v>23.9</v>
      </c>
    </row>
    <row r="49" spans="1:7" x14ac:dyDescent="0.3">
      <c r="A49" s="54" t="s">
        <v>20</v>
      </c>
      <c r="B49" s="25">
        <v>0.25</v>
      </c>
      <c r="C49" s="25">
        <f>B49*48</f>
        <v>12</v>
      </c>
      <c r="D49" s="25">
        <f>12.7%*C49</f>
        <v>1.524</v>
      </c>
      <c r="E49" s="25">
        <f>11.5%*C49</f>
        <v>1.3800000000000001</v>
      </c>
      <c r="F49" s="25"/>
      <c r="G49" s="25">
        <f t="shared" ref="G49:G52" si="6">4*(D49+F49)+9*E49</f>
        <v>18.516000000000002</v>
      </c>
    </row>
    <row r="50" spans="1:7" x14ac:dyDescent="0.3">
      <c r="A50" s="71" t="s">
        <v>43</v>
      </c>
      <c r="B50" s="25">
        <v>7</v>
      </c>
      <c r="C50" s="25">
        <f>90%*B50</f>
        <v>6.3</v>
      </c>
      <c r="D50" s="25">
        <f>1.58%*C50</f>
        <v>9.9540000000000003E-2</v>
      </c>
      <c r="E50" s="25"/>
      <c r="F50" s="25">
        <f>9.5%*C50</f>
        <v>0.59850000000000003</v>
      </c>
      <c r="G50" s="25">
        <f t="shared" si="6"/>
        <v>2.79216</v>
      </c>
    </row>
    <row r="51" spans="1:7" x14ac:dyDescent="0.3">
      <c r="A51" s="71" t="s">
        <v>27</v>
      </c>
      <c r="B51" s="25">
        <v>25</v>
      </c>
      <c r="C51" s="25">
        <f t="shared" ref="C51" si="7">B51*100%</f>
        <v>25</v>
      </c>
      <c r="D51" s="25">
        <f>7.4%*C51</f>
        <v>1.8500000000000003</v>
      </c>
      <c r="E51" s="25">
        <f>3.14%*C51</f>
        <v>0.78500000000000014</v>
      </c>
      <c r="F51" s="25">
        <f>62.3%*C51</f>
        <v>15.574999999999999</v>
      </c>
      <c r="G51" s="25">
        <f t="shared" si="6"/>
        <v>76.765000000000001</v>
      </c>
    </row>
    <row r="52" spans="1:7" x14ac:dyDescent="0.3">
      <c r="A52" s="71" t="s">
        <v>54</v>
      </c>
      <c r="B52" s="25">
        <v>0.5</v>
      </c>
      <c r="C52" s="25">
        <f t="shared" ref="C52" si="8">100%*B52</f>
        <v>0.5</v>
      </c>
      <c r="D52" s="25"/>
      <c r="E52" s="25"/>
      <c r="F52" s="25"/>
      <c r="G52" s="25">
        <f t="shared" si="6"/>
        <v>0</v>
      </c>
    </row>
    <row r="53" spans="1:7" s="16" customFormat="1" ht="36" x14ac:dyDescent="0.25">
      <c r="A53" s="71" t="s">
        <v>19</v>
      </c>
      <c r="B53" s="25">
        <v>5</v>
      </c>
      <c r="C53" s="25">
        <f>100%*B53</f>
        <v>5</v>
      </c>
      <c r="D53" s="25"/>
      <c r="E53" s="25">
        <f>72.57%*C53</f>
        <v>3.6284999999999994</v>
      </c>
      <c r="F53" s="25"/>
      <c r="G53" s="25">
        <f>4*(D53+F53)+9*E53</f>
        <v>32.656499999999994</v>
      </c>
    </row>
    <row r="54" spans="1:7" x14ac:dyDescent="0.3">
      <c r="A54" s="54" t="s">
        <v>15</v>
      </c>
      <c r="B54" s="25">
        <v>1</v>
      </c>
      <c r="C54" s="25">
        <f>100%*B54</f>
        <v>1</v>
      </c>
      <c r="D54" s="25"/>
      <c r="E54" s="25"/>
      <c r="F54" s="25"/>
      <c r="G54" s="25">
        <f>4*(D54+F54)+9*E54</f>
        <v>0</v>
      </c>
    </row>
    <row r="55" spans="1:7" x14ac:dyDescent="0.3">
      <c r="A55" s="38" t="s">
        <v>16</v>
      </c>
      <c r="B55" s="115">
        <v>450</v>
      </c>
      <c r="C55" s="116"/>
      <c r="D55" s="26">
        <f>SUM(D47:D54)</f>
        <v>18.213540000000005</v>
      </c>
      <c r="E55" s="26">
        <f>SUM(E47:E54)</f>
        <v>18.868500000000001</v>
      </c>
      <c r="F55" s="26">
        <f>SUM(F47:F54)</f>
        <v>21.133499999999998</v>
      </c>
      <c r="G55" s="26">
        <f>SUM(G47:G54)</f>
        <v>327.20465999999999</v>
      </c>
    </row>
    <row r="58" spans="1:7" x14ac:dyDescent="0.3">
      <c r="A58" s="110" t="s">
        <v>125</v>
      </c>
      <c r="B58" s="110"/>
      <c r="C58" s="110"/>
      <c r="D58" s="110"/>
      <c r="E58" s="110"/>
      <c r="F58" s="110"/>
      <c r="G58" s="110"/>
    </row>
    <row r="59" spans="1:7" ht="36" x14ac:dyDescent="0.3">
      <c r="A59" s="111" t="s">
        <v>2</v>
      </c>
      <c r="B59" s="111" t="s">
        <v>3</v>
      </c>
      <c r="C59" s="111"/>
      <c r="D59" s="113" t="s">
        <v>4</v>
      </c>
      <c r="E59" s="113" t="s">
        <v>5</v>
      </c>
      <c r="F59" s="111" t="s">
        <v>6</v>
      </c>
      <c r="G59" s="34" t="s">
        <v>7</v>
      </c>
    </row>
    <row r="60" spans="1:7" x14ac:dyDescent="0.3">
      <c r="A60" s="111"/>
      <c r="B60" s="34" t="s">
        <v>8</v>
      </c>
      <c r="C60" s="34" t="s">
        <v>9</v>
      </c>
      <c r="D60" s="114"/>
      <c r="E60" s="114"/>
      <c r="F60" s="111"/>
      <c r="G60" s="34" t="s">
        <v>10</v>
      </c>
    </row>
    <row r="61" spans="1:7" ht="36" x14ac:dyDescent="0.3">
      <c r="A61" s="54" t="s">
        <v>30</v>
      </c>
      <c r="B61" s="25">
        <v>200</v>
      </c>
      <c r="C61" s="25">
        <f>B61*75%</f>
        <v>150</v>
      </c>
      <c r="D61" s="25">
        <f>18.6%*C61</f>
        <v>27.900000000000006</v>
      </c>
      <c r="E61" s="25">
        <f>17.3%*C61</f>
        <v>25.950000000000003</v>
      </c>
      <c r="F61" s="25"/>
      <c r="G61" s="25">
        <f>4*(D61+F61)+9*E61</f>
        <v>345.15000000000003</v>
      </c>
    </row>
    <row r="62" spans="1:7" ht="36" x14ac:dyDescent="0.3">
      <c r="A62" s="71" t="s">
        <v>19</v>
      </c>
      <c r="B62" s="25">
        <v>10</v>
      </c>
      <c r="C62" s="25">
        <f>100%*B62</f>
        <v>10</v>
      </c>
      <c r="D62" s="25"/>
      <c r="E62" s="25">
        <f>72.57%*C62</f>
        <v>7.2569999999999988</v>
      </c>
      <c r="F62" s="25"/>
      <c r="G62" s="25">
        <f>4*(D62+F62)+9*E62</f>
        <v>65.312999999999988</v>
      </c>
    </row>
    <row r="63" spans="1:7" x14ac:dyDescent="0.3">
      <c r="A63" s="54" t="s">
        <v>42</v>
      </c>
      <c r="B63" s="25">
        <v>7</v>
      </c>
      <c r="C63" s="25">
        <f>85%*B63</f>
        <v>5.95</v>
      </c>
      <c r="D63" s="25"/>
      <c r="E63" s="25"/>
      <c r="F63" s="25"/>
      <c r="G63" s="25">
        <f t="shared" ref="G63:G64" si="9">4*(D63+F63)+9*E63</f>
        <v>0</v>
      </c>
    </row>
    <row r="64" spans="1:7" x14ac:dyDescent="0.3">
      <c r="A64" s="71" t="s">
        <v>27</v>
      </c>
      <c r="B64" s="25">
        <v>20</v>
      </c>
      <c r="C64" s="25">
        <f t="shared" ref="C64" si="10">B64*100%</f>
        <v>20</v>
      </c>
      <c r="D64" s="25">
        <f>7.4%*C64</f>
        <v>1.4800000000000002</v>
      </c>
      <c r="E64" s="25">
        <f>3.14%*C64</f>
        <v>0.62800000000000011</v>
      </c>
      <c r="F64" s="25">
        <f>62.3%*C64</f>
        <v>12.46</v>
      </c>
      <c r="G64" s="25">
        <f t="shared" si="9"/>
        <v>61.412000000000006</v>
      </c>
    </row>
    <row r="65" spans="1:7" x14ac:dyDescent="0.3">
      <c r="A65" s="71" t="s">
        <v>47</v>
      </c>
      <c r="B65" s="25">
        <v>220</v>
      </c>
      <c r="C65" s="25">
        <f>75%*B65</f>
        <v>165</v>
      </c>
      <c r="D65" s="25">
        <f>1.87%*C65</f>
        <v>3.0855000000000001</v>
      </c>
      <c r="E65" s="25"/>
      <c r="F65" s="25">
        <f>4.16%*C65</f>
        <v>6.8639999999999999</v>
      </c>
      <c r="G65" s="25">
        <f>4*(D65+F65)+9*E65</f>
        <v>39.798000000000002</v>
      </c>
    </row>
    <row r="66" spans="1:7" x14ac:dyDescent="0.3">
      <c r="A66" s="71" t="s">
        <v>51</v>
      </c>
      <c r="B66" s="25">
        <v>170</v>
      </c>
      <c r="C66" s="25">
        <f>85%*B66</f>
        <v>144.5</v>
      </c>
      <c r="D66" s="25">
        <f>1.5%*C66</f>
        <v>2.1675</v>
      </c>
      <c r="E66" s="25"/>
      <c r="F66" s="25">
        <f>6.2%*C66</f>
        <v>8.9589999999999996</v>
      </c>
      <c r="G66" s="25">
        <f t="shared" ref="G66:G69" si="11">4*(D66+F66)+9*E66</f>
        <v>44.506</v>
      </c>
    </row>
    <row r="67" spans="1:7" x14ac:dyDescent="0.3">
      <c r="A67" s="71" t="s">
        <v>24</v>
      </c>
      <c r="B67" s="25">
        <v>20</v>
      </c>
      <c r="C67" s="25">
        <f t="shared" ref="C67" si="12">100%*B67</f>
        <v>20</v>
      </c>
      <c r="D67" s="25">
        <f>2.6%*C67</f>
        <v>0.52</v>
      </c>
      <c r="E67" s="25">
        <f>10%*C67</f>
        <v>2</v>
      </c>
      <c r="F67" s="25">
        <f>3.8%*C67</f>
        <v>0.76</v>
      </c>
      <c r="G67" s="25">
        <f t="shared" si="11"/>
        <v>23.12</v>
      </c>
    </row>
    <row r="68" spans="1:7" x14ac:dyDescent="0.3">
      <c r="A68" s="71" t="s">
        <v>52</v>
      </c>
      <c r="B68" s="25">
        <v>75</v>
      </c>
      <c r="C68" s="25">
        <f>90%*B68</f>
        <v>67.5</v>
      </c>
      <c r="D68" s="25">
        <f>1.1%*C68</f>
        <v>0.74250000000000005</v>
      </c>
      <c r="E68" s="25">
        <f>0.2%*C68</f>
        <v>0.13500000000000001</v>
      </c>
      <c r="F68" s="25">
        <f>3.8%*C68</f>
        <v>2.5649999999999999</v>
      </c>
      <c r="G68" s="25">
        <f t="shared" si="11"/>
        <v>14.445</v>
      </c>
    </row>
    <row r="69" spans="1:7" x14ac:dyDescent="0.3">
      <c r="A69" s="71" t="s">
        <v>43</v>
      </c>
      <c r="B69" s="25">
        <v>7</v>
      </c>
      <c r="C69" s="25">
        <f>90%*B69</f>
        <v>6.3</v>
      </c>
      <c r="D69" s="25">
        <f>1.58%*C69</f>
        <v>9.9540000000000003E-2</v>
      </c>
      <c r="E69" s="25"/>
      <c r="F69" s="25">
        <f>9.5%*C69</f>
        <v>0.59850000000000003</v>
      </c>
      <c r="G69" s="25">
        <f t="shared" si="11"/>
        <v>2.79216</v>
      </c>
    </row>
    <row r="70" spans="1:7" x14ac:dyDescent="0.3">
      <c r="A70" s="54" t="s">
        <v>15</v>
      </c>
      <c r="B70" s="25">
        <v>2</v>
      </c>
      <c r="C70" s="25">
        <f>100%*B70</f>
        <v>2</v>
      </c>
      <c r="D70" s="25"/>
      <c r="E70" s="25"/>
      <c r="F70" s="25"/>
      <c r="G70" s="25">
        <f>4*(D70+F70)+9*E70</f>
        <v>0</v>
      </c>
    </row>
    <row r="71" spans="1:7" x14ac:dyDescent="0.3">
      <c r="A71" s="71" t="s">
        <v>44</v>
      </c>
      <c r="B71" s="25">
        <v>1</v>
      </c>
      <c r="C71" s="25">
        <f>92%*B71</f>
        <v>0.92</v>
      </c>
      <c r="D71" s="25"/>
      <c r="E71" s="25"/>
      <c r="F71" s="25"/>
      <c r="G71" s="25">
        <f t="shared" ref="G71" si="13">4*(D71+F71)+9*E71</f>
        <v>0</v>
      </c>
    </row>
    <row r="72" spans="1:7" x14ac:dyDescent="0.3">
      <c r="A72" s="38" t="s">
        <v>16</v>
      </c>
      <c r="B72" s="115">
        <v>300</v>
      </c>
      <c r="C72" s="116"/>
      <c r="D72" s="26">
        <f t="shared" ref="D72:F72" si="14">SUM(D61:D71)</f>
        <v>35.995040000000003</v>
      </c>
      <c r="E72" s="26">
        <f t="shared" si="14"/>
        <v>35.97</v>
      </c>
      <c r="F72" s="26">
        <f t="shared" si="14"/>
        <v>32.206500000000005</v>
      </c>
      <c r="G72" s="26">
        <f>SUM(G61:G71)</f>
        <v>596.53616</v>
      </c>
    </row>
    <row r="75" spans="1:7" ht="23.25" customHeight="1" x14ac:dyDescent="0.35"/>
    <row r="76" spans="1:7" ht="34.5" customHeight="1" x14ac:dyDescent="0.3">
      <c r="A76" s="89" t="s">
        <v>64</v>
      </c>
      <c r="B76" s="58"/>
      <c r="C76" s="58"/>
      <c r="D76" s="58"/>
      <c r="E76" s="58"/>
      <c r="F76" s="58"/>
      <c r="G76" s="58"/>
    </row>
    <row r="77" spans="1:7" ht="36" x14ac:dyDescent="0.3">
      <c r="A77" s="111" t="s">
        <v>2</v>
      </c>
      <c r="B77" s="111" t="s">
        <v>3</v>
      </c>
      <c r="C77" s="111"/>
      <c r="D77" s="113" t="s">
        <v>4</v>
      </c>
      <c r="E77" s="113" t="s">
        <v>5</v>
      </c>
      <c r="F77" s="111" t="s">
        <v>6</v>
      </c>
      <c r="G77" s="34" t="s">
        <v>7</v>
      </c>
    </row>
    <row r="78" spans="1:7" x14ac:dyDescent="0.3">
      <c r="A78" s="111"/>
      <c r="B78" s="34" t="s">
        <v>8</v>
      </c>
      <c r="C78" s="34" t="s">
        <v>9</v>
      </c>
      <c r="D78" s="114"/>
      <c r="E78" s="114"/>
      <c r="F78" s="111"/>
      <c r="G78" s="34" t="s">
        <v>10</v>
      </c>
    </row>
    <row r="79" spans="1:7" x14ac:dyDescent="0.3">
      <c r="A79" s="71" t="s">
        <v>64</v>
      </c>
      <c r="B79" s="25">
        <v>100</v>
      </c>
      <c r="C79" s="25">
        <f t="shared" ref="C79" si="15">100%*B79</f>
        <v>100</v>
      </c>
      <c r="D79" s="25">
        <f>0.66%*C79</f>
        <v>0.66</v>
      </c>
      <c r="E79" s="25"/>
      <c r="F79" s="25">
        <f>17.3%*C79</f>
        <v>17.3</v>
      </c>
      <c r="G79" s="25">
        <f t="shared" ref="G79" si="16">4*(D79+F79)+9*E79</f>
        <v>71.84</v>
      </c>
    </row>
    <row r="80" spans="1:7" x14ac:dyDescent="0.3">
      <c r="A80" s="57" t="s">
        <v>13</v>
      </c>
      <c r="B80" s="26">
        <v>400</v>
      </c>
      <c r="C80" s="26">
        <f>B80*100%</f>
        <v>400</v>
      </c>
      <c r="D80" s="26">
        <f>C80*7.9%</f>
        <v>31.6</v>
      </c>
      <c r="E80" s="26">
        <f>C80*1%</f>
        <v>4</v>
      </c>
      <c r="F80" s="26">
        <f>C80*49.6%</f>
        <v>198.4</v>
      </c>
      <c r="G80" s="26">
        <f>4*(D80+F80)+9*E80</f>
        <v>956</v>
      </c>
    </row>
    <row r="81" spans="1:7" x14ac:dyDescent="0.3">
      <c r="A81" s="38" t="s">
        <v>61</v>
      </c>
      <c r="B81" s="117">
        <f>B55+B72+B79+B80</f>
        <v>1250</v>
      </c>
      <c r="C81" s="118"/>
      <c r="D81" s="26">
        <f t="shared" ref="D81:F81" si="17">D55+D72+D79+D80</f>
        <v>86.468580000000003</v>
      </c>
      <c r="E81" s="26">
        <f t="shared" si="17"/>
        <v>58.838499999999996</v>
      </c>
      <c r="F81" s="26">
        <f t="shared" si="17"/>
        <v>269.04000000000002</v>
      </c>
      <c r="G81" s="26">
        <f>G55+G72+G79+G80</f>
        <v>1951.5808200000001</v>
      </c>
    </row>
    <row r="82" spans="1:7" s="16" customFormat="1" x14ac:dyDescent="0.35">
      <c r="A82" s="73"/>
      <c r="B82" s="24"/>
      <c r="C82" s="24"/>
      <c r="D82" s="24"/>
      <c r="E82" s="24"/>
      <c r="F82" s="24"/>
      <c r="G82" s="24"/>
    </row>
    <row r="85" spans="1:7" x14ac:dyDescent="0.35">
      <c r="A85" s="69" t="s">
        <v>63</v>
      </c>
    </row>
    <row r="86" spans="1:7" x14ac:dyDescent="0.3">
      <c r="A86" s="89" t="s">
        <v>126</v>
      </c>
      <c r="B86" s="58"/>
      <c r="C86" s="58"/>
      <c r="D86" s="58"/>
      <c r="E86" s="58"/>
      <c r="F86" s="58"/>
      <c r="G86" s="58"/>
    </row>
    <row r="87" spans="1:7" ht="36" x14ac:dyDescent="0.3">
      <c r="A87" s="111" t="s">
        <v>2</v>
      </c>
      <c r="B87" s="111" t="s">
        <v>3</v>
      </c>
      <c r="C87" s="111"/>
      <c r="D87" s="113" t="s">
        <v>4</v>
      </c>
      <c r="E87" s="113" t="s">
        <v>5</v>
      </c>
      <c r="F87" s="111" t="s">
        <v>6</v>
      </c>
      <c r="G87" s="34" t="s">
        <v>7</v>
      </c>
    </row>
    <row r="88" spans="1:7" x14ac:dyDescent="0.3">
      <c r="A88" s="111"/>
      <c r="B88" s="34" t="s">
        <v>8</v>
      </c>
      <c r="C88" s="34" t="s">
        <v>9</v>
      </c>
      <c r="D88" s="114"/>
      <c r="E88" s="114"/>
      <c r="F88" s="111"/>
      <c r="G88" s="34" t="s">
        <v>10</v>
      </c>
    </row>
    <row r="89" spans="1:7" s="17" customFormat="1" x14ac:dyDescent="0.3">
      <c r="A89" s="71" t="s">
        <v>36</v>
      </c>
      <c r="B89" s="25">
        <v>150</v>
      </c>
      <c r="C89" s="25">
        <f>92%*B89</f>
        <v>138</v>
      </c>
      <c r="D89" s="25">
        <f>15.48%*C89</f>
        <v>21.362399999999997</v>
      </c>
      <c r="E89" s="25">
        <f>8.69%*C89</f>
        <v>11.992199999999999</v>
      </c>
      <c r="F89" s="25"/>
      <c r="G89" s="25">
        <f>4*(D89+F89)+9*E89</f>
        <v>193.37939999999998</v>
      </c>
    </row>
    <row r="90" spans="1:7" x14ac:dyDescent="0.3">
      <c r="A90" s="71" t="s">
        <v>18</v>
      </c>
      <c r="B90" s="25">
        <v>10</v>
      </c>
      <c r="C90" s="25">
        <f t="shared" ref="C90" si="18">B90*100%</f>
        <v>10</v>
      </c>
      <c r="D90" s="25">
        <f>C90*8%</f>
        <v>0.8</v>
      </c>
      <c r="E90" s="25">
        <f>C90*1%</f>
        <v>0.1</v>
      </c>
      <c r="F90" s="25">
        <f>C90*50%</f>
        <v>5</v>
      </c>
      <c r="G90" s="25">
        <f t="shared" ref="G90" si="19">4*(D90+F90)+9*E90</f>
        <v>24.099999999999998</v>
      </c>
    </row>
    <row r="91" spans="1:7" x14ac:dyDescent="0.3">
      <c r="A91" s="54" t="s">
        <v>14</v>
      </c>
      <c r="B91" s="25">
        <v>7</v>
      </c>
      <c r="C91" s="25">
        <f>100%*B91</f>
        <v>7</v>
      </c>
      <c r="D91" s="25"/>
      <c r="E91" s="25">
        <f>99.9%*C91</f>
        <v>6.9930000000000003</v>
      </c>
      <c r="F91" s="25"/>
      <c r="G91" s="25">
        <f>4*(D91+F91)+9*E91</f>
        <v>62.937000000000005</v>
      </c>
    </row>
    <row r="92" spans="1:7" x14ac:dyDescent="0.3">
      <c r="A92" s="54" t="s">
        <v>15</v>
      </c>
      <c r="B92" s="25">
        <v>1</v>
      </c>
      <c r="C92" s="25">
        <f>100%*B92</f>
        <v>1</v>
      </c>
      <c r="D92" s="25"/>
      <c r="E92" s="25"/>
      <c r="F92" s="25"/>
      <c r="G92" s="25">
        <f t="shared" ref="G92" si="20">4*(D92+F92)+9*E92</f>
        <v>0</v>
      </c>
    </row>
    <row r="93" spans="1:7" x14ac:dyDescent="0.3">
      <c r="A93" s="38" t="s">
        <v>16</v>
      </c>
      <c r="B93" s="115">
        <v>87</v>
      </c>
      <c r="C93" s="116"/>
      <c r="D93" s="26">
        <f>SUM(D89:D92)</f>
        <v>22.162399999999998</v>
      </c>
      <c r="E93" s="26">
        <f>SUM(E89:E92)</f>
        <v>19.0852</v>
      </c>
      <c r="F93" s="26">
        <f>SUM(F89:F92)</f>
        <v>5</v>
      </c>
      <c r="G93" s="26">
        <f>SUM(G89:G92)</f>
        <v>280.41639999999995</v>
      </c>
    </row>
    <row r="96" spans="1:7" ht="36" x14ac:dyDescent="0.3">
      <c r="A96" s="89" t="s">
        <v>127</v>
      </c>
      <c r="B96" s="58"/>
      <c r="C96" s="58"/>
      <c r="D96" s="58"/>
      <c r="E96" s="58"/>
      <c r="F96" s="58"/>
      <c r="G96" s="58"/>
    </row>
    <row r="97" spans="1:7" ht="36" x14ac:dyDescent="0.3">
      <c r="A97" s="111" t="s">
        <v>2</v>
      </c>
      <c r="B97" s="111" t="s">
        <v>3</v>
      </c>
      <c r="C97" s="111"/>
      <c r="D97" s="113" t="s">
        <v>4</v>
      </c>
      <c r="E97" s="113" t="s">
        <v>5</v>
      </c>
      <c r="F97" s="111" t="s">
        <v>6</v>
      </c>
      <c r="G97" s="34" t="s">
        <v>7</v>
      </c>
    </row>
    <row r="98" spans="1:7" x14ac:dyDescent="0.3">
      <c r="A98" s="111"/>
      <c r="B98" s="34" t="s">
        <v>8</v>
      </c>
      <c r="C98" s="34" t="s">
        <v>9</v>
      </c>
      <c r="D98" s="114"/>
      <c r="E98" s="114"/>
      <c r="F98" s="111"/>
      <c r="G98" s="34" t="s">
        <v>10</v>
      </c>
    </row>
    <row r="99" spans="1:7" x14ac:dyDescent="0.3">
      <c r="A99" s="71" t="s">
        <v>46</v>
      </c>
      <c r="B99" s="25">
        <v>220</v>
      </c>
      <c r="C99" s="25">
        <f>72%*B99</f>
        <v>158.4</v>
      </c>
      <c r="D99" s="25">
        <f>2.1%*C99</f>
        <v>3.3264000000000005</v>
      </c>
      <c r="E99" s="25">
        <f>0.4%*C99</f>
        <v>0.63360000000000005</v>
      </c>
      <c r="F99" s="25">
        <f>15.6%*C99</f>
        <v>24.7104</v>
      </c>
      <c r="G99" s="25">
        <f>4*(D99+F99)+9*E99</f>
        <v>117.8496</v>
      </c>
    </row>
    <row r="100" spans="1:7" x14ac:dyDescent="0.3">
      <c r="A100" s="71" t="s">
        <v>45</v>
      </c>
      <c r="B100" s="25">
        <v>80</v>
      </c>
      <c r="C100" s="25">
        <f>80%*B100</f>
        <v>64</v>
      </c>
      <c r="D100" s="25">
        <f>1.77%*C100</f>
        <v>1.1328</v>
      </c>
      <c r="E100" s="25"/>
      <c r="F100" s="25">
        <f>11%*C100</f>
        <v>7.04</v>
      </c>
      <c r="G100" s="25">
        <f>4*(D100+F100)+9*E100</f>
        <v>32.691200000000002</v>
      </c>
    </row>
    <row r="101" spans="1:7" ht="36" x14ac:dyDescent="0.3">
      <c r="A101" s="71" t="s">
        <v>19</v>
      </c>
      <c r="B101" s="25">
        <v>5</v>
      </c>
      <c r="C101" s="25">
        <f>100%*B101</f>
        <v>5</v>
      </c>
      <c r="D101" s="25"/>
      <c r="E101" s="25">
        <f>72.57%*C101</f>
        <v>3.6284999999999994</v>
      </c>
      <c r="F101" s="25"/>
      <c r="G101" s="25">
        <f>4*(D101+F101)+9*E101</f>
        <v>32.656499999999994</v>
      </c>
    </row>
    <row r="102" spans="1:7" x14ac:dyDescent="0.3">
      <c r="A102" s="54" t="s">
        <v>15</v>
      </c>
      <c r="B102" s="25">
        <v>2</v>
      </c>
      <c r="C102" s="25">
        <f>100%*B102</f>
        <v>2</v>
      </c>
      <c r="D102" s="25"/>
      <c r="E102" s="25"/>
      <c r="F102" s="25"/>
      <c r="G102" s="25">
        <f t="shared" ref="G102" si="21">4*(D102+F102)+9*E102</f>
        <v>0</v>
      </c>
    </row>
    <row r="103" spans="1:7" x14ac:dyDescent="0.3">
      <c r="A103" s="57" t="s">
        <v>16</v>
      </c>
      <c r="B103" s="123">
        <v>200</v>
      </c>
      <c r="C103" s="124"/>
      <c r="D103" s="26">
        <f>SUM(D99:D101)</f>
        <v>4.4592000000000009</v>
      </c>
      <c r="E103" s="26">
        <f t="shared" ref="E103:F103" si="22">SUM(E99:E102)</f>
        <v>4.2620999999999993</v>
      </c>
      <c r="F103" s="26">
        <f t="shared" si="22"/>
        <v>31.750399999999999</v>
      </c>
      <c r="G103" s="26">
        <f>SUM(G99:G102)</f>
        <v>183.19729999999998</v>
      </c>
    </row>
    <row r="107" spans="1:7" x14ac:dyDescent="0.3">
      <c r="A107" s="97" t="s">
        <v>81</v>
      </c>
      <c r="B107" s="97"/>
      <c r="C107" s="97"/>
      <c r="D107" s="97"/>
      <c r="E107" s="97"/>
      <c r="F107" s="97"/>
      <c r="G107" s="97"/>
    </row>
    <row r="108" spans="1:7" ht="36" x14ac:dyDescent="0.3">
      <c r="A108" s="98" t="s">
        <v>2</v>
      </c>
      <c r="B108" s="98" t="s">
        <v>3</v>
      </c>
      <c r="C108" s="98"/>
      <c r="D108" s="99" t="s">
        <v>4</v>
      </c>
      <c r="E108" s="99" t="s">
        <v>5</v>
      </c>
      <c r="F108" s="98" t="s">
        <v>6</v>
      </c>
      <c r="G108" s="35" t="s">
        <v>7</v>
      </c>
    </row>
    <row r="109" spans="1:7" x14ac:dyDescent="0.3">
      <c r="A109" s="98"/>
      <c r="B109" s="35" t="s">
        <v>8</v>
      </c>
      <c r="C109" s="35" t="s">
        <v>9</v>
      </c>
      <c r="D109" s="100"/>
      <c r="E109" s="100"/>
      <c r="F109" s="98"/>
      <c r="G109" s="35" t="s">
        <v>10</v>
      </c>
    </row>
    <row r="110" spans="1:7" x14ac:dyDescent="0.3">
      <c r="A110" s="41" t="s">
        <v>29</v>
      </c>
      <c r="B110" s="27">
        <v>1</v>
      </c>
      <c r="C110" s="27">
        <f>100%*B110</f>
        <v>1</v>
      </c>
      <c r="D110" s="27"/>
      <c r="E110" s="27"/>
      <c r="F110" s="27"/>
      <c r="G110" s="27">
        <f>4*(D110+F110)+9*E110</f>
        <v>0</v>
      </c>
    </row>
    <row r="111" spans="1:7" x14ac:dyDescent="0.3">
      <c r="A111" s="41" t="s">
        <v>22</v>
      </c>
      <c r="B111" s="27">
        <v>20</v>
      </c>
      <c r="C111" s="27">
        <f>100%*B111</f>
        <v>20</v>
      </c>
      <c r="D111" s="27"/>
      <c r="E111" s="27"/>
      <c r="F111" s="27">
        <f>99%*C111</f>
        <v>19.8</v>
      </c>
      <c r="G111" s="27">
        <f>4*(D111+F111)+9*E111</f>
        <v>79.2</v>
      </c>
    </row>
    <row r="112" spans="1:7" x14ac:dyDescent="0.3">
      <c r="A112" s="37" t="s">
        <v>16</v>
      </c>
      <c r="B112" s="93">
        <v>250</v>
      </c>
      <c r="C112" s="94"/>
      <c r="D112" s="28">
        <f>SUM(D105:D109)</f>
        <v>0</v>
      </c>
      <c r="E112" s="28">
        <f>SUM(E105:E109)</f>
        <v>0</v>
      </c>
      <c r="F112" s="28">
        <f>SUM(F105:F109)</f>
        <v>0</v>
      </c>
      <c r="G112" s="28">
        <f>SUM(G107:G111)</f>
        <v>79.2</v>
      </c>
    </row>
    <row r="113" spans="1:8" x14ac:dyDescent="0.3">
      <c r="A113" s="70" t="s">
        <v>28</v>
      </c>
      <c r="B113" s="27">
        <v>10</v>
      </c>
      <c r="C113" s="27">
        <f>100%*B113</f>
        <v>10</v>
      </c>
      <c r="D113" s="27">
        <f>0.5%*C113</f>
        <v>0.05</v>
      </c>
      <c r="E113" s="27">
        <f>82.5%*C113</f>
        <v>8.25</v>
      </c>
      <c r="F113" s="27">
        <f>0.8%*C113</f>
        <v>0.08</v>
      </c>
      <c r="G113" s="27">
        <f>4*(D113+F113)+9*E113</f>
        <v>74.77</v>
      </c>
    </row>
    <row r="114" spans="1:8" x14ac:dyDescent="0.3">
      <c r="A114" s="47" t="s">
        <v>13</v>
      </c>
      <c r="B114" s="28">
        <v>200</v>
      </c>
      <c r="C114" s="28">
        <f>B114*100%</f>
        <v>200</v>
      </c>
      <c r="D114" s="28">
        <f>C114*7.9%</f>
        <v>15.8</v>
      </c>
      <c r="E114" s="28">
        <f>C114*1%</f>
        <v>2</v>
      </c>
      <c r="F114" s="28">
        <f>C114*49.6%</f>
        <v>99.2</v>
      </c>
      <c r="G114" s="28">
        <f>4*(D114+F114)+9*E114</f>
        <v>478</v>
      </c>
    </row>
    <row r="115" spans="1:8" x14ac:dyDescent="0.3">
      <c r="A115" s="37" t="s">
        <v>67</v>
      </c>
      <c r="B115" s="107">
        <f>B93+B103+B112+B113+B114</f>
        <v>747</v>
      </c>
      <c r="C115" s="94"/>
      <c r="D115" s="28">
        <f t="shared" ref="D115:F115" si="23">D93+D103+D112+D113+D114</f>
        <v>42.471600000000002</v>
      </c>
      <c r="E115" s="28">
        <f t="shared" si="23"/>
        <v>33.597300000000004</v>
      </c>
      <c r="F115" s="28">
        <f t="shared" si="23"/>
        <v>136.03039999999999</v>
      </c>
      <c r="G115" s="28">
        <f>G93+G103+G112+G113+G114</f>
        <v>1095.5836999999999</v>
      </c>
    </row>
    <row r="120" spans="1:8" s="19" customFormat="1" x14ac:dyDescent="0.35">
      <c r="A120" s="73"/>
      <c r="B120" s="24"/>
      <c r="C120" s="24"/>
      <c r="D120" s="24"/>
      <c r="E120" s="24"/>
      <c r="F120" s="24"/>
      <c r="G120" s="24"/>
    </row>
    <row r="121" spans="1:8" x14ac:dyDescent="0.3">
      <c r="A121" s="53" t="s">
        <v>68</v>
      </c>
      <c r="B121" s="31">
        <f>B39+B81+B115</f>
        <v>2827</v>
      </c>
      <c r="C121" s="31">
        <f t="shared" ref="C121:F121" si="24">C39+C81+C115</f>
        <v>0</v>
      </c>
      <c r="D121" s="31">
        <f t="shared" si="24"/>
        <v>186.07158000000001</v>
      </c>
      <c r="E121" s="31">
        <f t="shared" si="24"/>
        <v>128.83109999999999</v>
      </c>
      <c r="F121" s="31">
        <f t="shared" si="24"/>
        <v>634.25040000000001</v>
      </c>
      <c r="G121" s="31">
        <f>G39+G81+G115</f>
        <v>4519.9678199999998</v>
      </c>
    </row>
    <row r="122" spans="1:8" x14ac:dyDescent="0.35">
      <c r="H122" s="14"/>
    </row>
    <row r="123" spans="1:8" x14ac:dyDescent="0.35">
      <c r="G123" s="33">
        <f>G39/G121</f>
        <v>0.32584375788763914</v>
      </c>
    </row>
    <row r="124" spans="1:8" x14ac:dyDescent="0.35">
      <c r="A124" s="69" t="s">
        <v>78</v>
      </c>
      <c r="G124" s="33">
        <f>G81/G121</f>
        <v>0.43176874210577904</v>
      </c>
    </row>
    <row r="125" spans="1:8" x14ac:dyDescent="0.35">
      <c r="A125" s="69" t="s">
        <v>79</v>
      </c>
      <c r="G125" s="33">
        <f>G115/G121</f>
        <v>0.24238750000658188</v>
      </c>
    </row>
    <row r="126" spans="1:8" x14ac:dyDescent="0.35">
      <c r="A126" s="69" t="s">
        <v>80</v>
      </c>
      <c r="G126" s="68"/>
    </row>
  </sheetData>
  <mergeCells count="64">
    <mergeCell ref="A1:G1"/>
    <mergeCell ref="B115:C115"/>
    <mergeCell ref="A107:G107"/>
    <mergeCell ref="A108:A109"/>
    <mergeCell ref="B108:C108"/>
    <mergeCell ref="D108:D109"/>
    <mergeCell ref="E108:E109"/>
    <mergeCell ref="F108:F109"/>
    <mergeCell ref="F97:F98"/>
    <mergeCell ref="B81:C81"/>
    <mergeCell ref="B93:C93"/>
    <mergeCell ref="B72:C72"/>
    <mergeCell ref="B112:C112"/>
    <mergeCell ref="B103:C103"/>
    <mergeCell ref="B97:C97"/>
    <mergeCell ref="E77:E78"/>
    <mergeCell ref="F77:F78"/>
    <mergeCell ref="B87:C87"/>
    <mergeCell ref="D87:D88"/>
    <mergeCell ref="E87:E88"/>
    <mergeCell ref="A97:A98"/>
    <mergeCell ref="D97:D98"/>
    <mergeCell ref="A87:A88"/>
    <mergeCell ref="A77:A78"/>
    <mergeCell ref="E45:E46"/>
    <mergeCell ref="A59:A60"/>
    <mergeCell ref="B59:C59"/>
    <mergeCell ref="D59:D60"/>
    <mergeCell ref="B55:C55"/>
    <mergeCell ref="A58:G58"/>
    <mergeCell ref="E59:E60"/>
    <mergeCell ref="F59:F60"/>
    <mergeCell ref="F87:F88"/>
    <mergeCell ref="B77:C77"/>
    <mergeCell ref="D77:D78"/>
    <mergeCell ref="E97:E98"/>
    <mergeCell ref="F45:F46"/>
    <mergeCell ref="A29:A30"/>
    <mergeCell ref="B29:C29"/>
    <mergeCell ref="D29:D30"/>
    <mergeCell ref="E29:E30"/>
    <mergeCell ref="F29:F30"/>
    <mergeCell ref="B37:C37"/>
    <mergeCell ref="B39:C39"/>
    <mergeCell ref="A44:G44"/>
    <mergeCell ref="A45:A46"/>
    <mergeCell ref="B45:C45"/>
    <mergeCell ref="D45:D46"/>
    <mergeCell ref="F19:F20"/>
    <mergeCell ref="B23:C23"/>
    <mergeCell ref="A19:A20"/>
    <mergeCell ref="B19:C19"/>
    <mergeCell ref="D19:D20"/>
    <mergeCell ref="E19:E20"/>
    <mergeCell ref="B14:C14"/>
    <mergeCell ref="A18:G18"/>
    <mergeCell ref="A2:G3"/>
    <mergeCell ref="A4:G4"/>
    <mergeCell ref="A6:G6"/>
    <mergeCell ref="A7:A8"/>
    <mergeCell ref="B7:C7"/>
    <mergeCell ref="D7:D8"/>
    <mergeCell ref="E7:E8"/>
    <mergeCell ref="F7:F8"/>
  </mergeCells>
  <pageMargins left="0.2" right="0.2" top="0.41" bottom="1" header="0.5" footer="0.5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ორშაბათი</vt:lpstr>
      <vt:lpstr>სამშაბათი</vt:lpstr>
      <vt:lpstr>ოთხშაბათი</vt:lpstr>
      <vt:lpstr>ხუთშაბათი</vt:lpstr>
      <vt:lpstr>პარასკევი</vt:lpstr>
      <vt:lpstr>შაბათი</vt:lpstr>
      <vt:lpstr>კვირა</vt:lpstr>
      <vt:lpstr>კვირა!Print_Area</vt:lpstr>
      <vt:lpstr>ოთხშაბათი!Print_Area</vt:lpstr>
      <vt:lpstr>ორშაბათი!Print_Area</vt:lpstr>
      <vt:lpstr>პარასკევი!Print_Area</vt:lpstr>
      <vt:lpstr>სამშაბათი!Print_Area</vt:lpstr>
      <vt:lpstr>შაბათი!Print_Area</vt:lpstr>
      <vt:lpstr>ხუთშაბათი!Print_Area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Teona Tamazashvili</dc:creator>
  <cp:lastModifiedBy>Tamta Rekhviashvili</cp:lastModifiedBy>
  <dcterms:created xsi:type="dcterms:W3CDTF">2022-08-30T13:24:59Z</dcterms:created>
  <dcterms:modified xsi:type="dcterms:W3CDTF">2022-10-21T07:40:39Z</dcterms:modified>
</cp:coreProperties>
</file>