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დანართი №5.2 " sheetId="2" r:id="rId1"/>
  </sheets>
  <definedNames>
    <definedName name="_xlnm.Print_Area" localSheetId="0">'დანართი №5.2 '!$A$1:$H$63</definedName>
  </definedNames>
  <calcPr calcId="162913"/>
</workbook>
</file>

<file path=xl/calcChain.xml><?xml version="1.0" encoding="utf-8"?>
<calcChain xmlns="http://schemas.openxmlformats.org/spreadsheetml/2006/main">
  <c r="D63" i="2" l="1"/>
  <c r="H63" i="2" l="1"/>
  <c r="D23" i="2"/>
  <c r="F23" i="2" s="1"/>
  <c r="D22" i="2"/>
  <c r="G22" i="2" s="1"/>
  <c r="E23" i="2" l="1"/>
  <c r="G23" i="2"/>
  <c r="E22" i="2"/>
  <c r="F22" i="2"/>
  <c r="H22" i="2" l="1"/>
  <c r="H23" i="2"/>
  <c r="D62" i="2" l="1"/>
  <c r="E62" i="2" s="1"/>
  <c r="D51" i="2"/>
  <c r="G51" i="2" s="1"/>
  <c r="C63" i="2"/>
  <c r="D60" i="2"/>
  <c r="G60" i="2" s="1"/>
  <c r="H61" i="2"/>
  <c r="D61" i="2"/>
  <c r="H46" i="2"/>
  <c r="D46" i="2"/>
  <c r="D45" i="2"/>
  <c r="E45" i="2" s="1"/>
  <c r="D40" i="2"/>
  <c r="E40" i="2" s="1"/>
  <c r="D36" i="2"/>
  <c r="F36" i="2" s="1"/>
  <c r="H36" i="2" s="1"/>
  <c r="D35" i="2"/>
  <c r="F35" i="2" s="1"/>
  <c r="D31" i="2"/>
  <c r="E31" i="2" s="1"/>
  <c r="D28" i="2"/>
  <c r="E28" i="2" s="1"/>
  <c r="D7" i="2"/>
  <c r="E7" i="2" s="1"/>
  <c r="D59" i="2"/>
  <c r="G59" i="2" s="1"/>
  <c r="D5" i="2"/>
  <c r="E5" i="2" s="1"/>
  <c r="D58" i="2"/>
  <c r="G58" i="2" s="1"/>
  <c r="H58" i="2" s="1"/>
  <c r="H57" i="2"/>
  <c r="D57" i="2"/>
  <c r="H56" i="2"/>
  <c r="D56" i="2"/>
  <c r="H55" i="2"/>
  <c r="D55" i="2"/>
  <c r="D54" i="2"/>
  <c r="G54" i="2" s="1"/>
  <c r="H54" i="2" s="1"/>
  <c r="D53" i="2"/>
  <c r="E53" i="2" s="1"/>
  <c r="D50" i="2"/>
  <c r="G50" i="2" s="1"/>
  <c r="H50" i="2" s="1"/>
  <c r="D49" i="2"/>
  <c r="G49" i="2" s="1"/>
  <c r="H49" i="2" s="1"/>
  <c r="H47" i="2"/>
  <c r="D47" i="2"/>
  <c r="H44" i="2"/>
  <c r="D44" i="2"/>
  <c r="D43" i="2"/>
  <c r="G43" i="2" s="1"/>
  <c r="D42" i="2"/>
  <c r="E42" i="2" s="1"/>
  <c r="D41" i="2"/>
  <c r="E41" i="2" s="1"/>
  <c r="D39" i="2"/>
  <c r="E39" i="2" s="1"/>
  <c r="D38" i="2"/>
  <c r="E38" i="2" s="1"/>
  <c r="D34" i="2"/>
  <c r="F34" i="2" s="1"/>
  <c r="H34" i="2" s="1"/>
  <c r="D32" i="2"/>
  <c r="E32" i="2" s="1"/>
  <c r="D30" i="2"/>
  <c r="G30" i="2" s="1"/>
  <c r="D29" i="2"/>
  <c r="E29" i="2" s="1"/>
  <c r="G27" i="2"/>
  <c r="D27" i="2"/>
  <c r="E27" i="2" s="1"/>
  <c r="D25" i="2"/>
  <c r="E25" i="2" s="1"/>
  <c r="D21" i="2"/>
  <c r="E21" i="2" s="1"/>
  <c r="D20" i="2"/>
  <c r="E20" i="2" s="1"/>
  <c r="D18" i="2"/>
  <c r="E18" i="2" s="1"/>
  <c r="D17" i="2"/>
  <c r="F17" i="2" s="1"/>
  <c r="D15" i="2"/>
  <c r="F15" i="2" s="1"/>
  <c r="D14" i="2"/>
  <c r="E14" i="2" s="1"/>
  <c r="D13" i="2"/>
  <c r="G13" i="2" s="1"/>
  <c r="D12" i="2"/>
  <c r="E12" i="2" s="1"/>
  <c r="D10" i="2"/>
  <c r="E10" i="2" s="1"/>
  <c r="D9" i="2"/>
  <c r="F9" i="2" s="1"/>
  <c r="D6" i="2"/>
  <c r="E6" i="2" s="1"/>
  <c r="E51" i="2" l="1"/>
  <c r="H51" i="2" s="1"/>
  <c r="F62" i="2"/>
  <c r="G62" i="2"/>
  <c r="E35" i="2"/>
  <c r="G40" i="2"/>
  <c r="H40" i="2" s="1"/>
  <c r="E60" i="2"/>
  <c r="H60" i="2" s="1"/>
  <c r="G31" i="2"/>
  <c r="G45" i="2"/>
  <c r="H45" i="2" s="1"/>
  <c r="G35" i="2"/>
  <c r="F31" i="2"/>
  <c r="G28" i="2"/>
  <c r="F28" i="2"/>
  <c r="F7" i="2"/>
  <c r="G7" i="2"/>
  <c r="E59" i="2"/>
  <c r="H59" i="2" s="1"/>
  <c r="F21" i="2"/>
  <c r="H21" i="2" s="1"/>
  <c r="G9" i="2"/>
  <c r="E13" i="2"/>
  <c r="G42" i="2"/>
  <c r="H42" i="2" s="1"/>
  <c r="E15" i="2"/>
  <c r="F20" i="2"/>
  <c r="H20" i="2" s="1"/>
  <c r="E30" i="2"/>
  <c r="F13" i="2"/>
  <c r="F32" i="2"/>
  <c r="H32" i="2" s="1"/>
  <c r="G5" i="2"/>
  <c r="F5" i="2"/>
  <c r="E9" i="2"/>
  <c r="E17" i="2"/>
  <c r="G39" i="2"/>
  <c r="H39" i="2" s="1"/>
  <c r="F53" i="2"/>
  <c r="H53" i="2" s="1"/>
  <c r="G41" i="2"/>
  <c r="H41" i="2" s="1"/>
  <c r="F30" i="2"/>
  <c r="F25" i="2"/>
  <c r="H25" i="2" s="1"/>
  <c r="G15" i="2"/>
  <c r="E43" i="2"/>
  <c r="H43" i="2" s="1"/>
  <c r="F38" i="2"/>
  <c r="G38" i="2"/>
  <c r="G29" i="2"/>
  <c r="F29" i="2"/>
  <c r="F27" i="2"/>
  <c r="H27" i="2" s="1"/>
  <c r="G18" i="2"/>
  <c r="G17" i="2"/>
  <c r="F18" i="2"/>
  <c r="G14" i="2"/>
  <c r="F14" i="2"/>
  <c r="G12" i="2"/>
  <c r="F12" i="2"/>
  <c r="G10" i="2"/>
  <c r="F10" i="2"/>
  <c r="G6" i="2"/>
  <c r="F6" i="2"/>
  <c r="H62" i="2" l="1"/>
  <c r="E63" i="2"/>
  <c r="H35" i="2"/>
  <c r="H31" i="2"/>
  <c r="H7" i="2"/>
  <c r="F63" i="2"/>
  <c r="G63" i="2"/>
  <c r="H28" i="2"/>
  <c r="H9" i="2"/>
  <c r="H13" i="2"/>
  <c r="H38" i="2"/>
  <c r="H6" i="2"/>
  <c r="H15" i="2"/>
  <c r="H5" i="2"/>
  <c r="H30" i="2"/>
  <c r="H12" i="2"/>
  <c r="H17" i="2"/>
  <c r="H18" i="2"/>
  <c r="H10" i="2"/>
  <c r="H14" i="2"/>
  <c r="H29" i="2"/>
</calcChain>
</file>

<file path=xl/sharedStrings.xml><?xml version="1.0" encoding="utf-8"?>
<sst xmlns="http://schemas.openxmlformats.org/spreadsheetml/2006/main" count="70" uniqueCount="70">
  <si>
    <t>კვების პროდუქტი</t>
  </si>
  <si>
    <t>რაოდენობა, გ</t>
  </si>
  <si>
    <t>ქიმიური შემადგენლობა, გ</t>
  </si>
  <si>
    <t>ენერგეტიკული ღირებულება, კკალ</t>
  </si>
  <si>
    <t>ბრუტო</t>
  </si>
  <si>
    <t>ნეტო</t>
  </si>
  <si>
    <t>ცილები</t>
  </si>
  <si>
    <t>ცხიმები</t>
  </si>
  <si>
    <t>ნახშირწყლები</t>
  </si>
  <si>
    <t>პარკოსნები</t>
  </si>
  <si>
    <t>ლობიო</t>
  </si>
  <si>
    <t>ბარდა</t>
  </si>
  <si>
    <t>ბურღულეული</t>
  </si>
  <si>
    <t>მანანის ბურღული</t>
  </si>
  <si>
    <t>წიწიბურა</t>
  </si>
  <si>
    <t>ბრინჯი</t>
  </si>
  <si>
    <t>მაკარონის ნაწარმი</t>
  </si>
  <si>
    <t>მაკარონი</t>
  </si>
  <si>
    <t>ვერმიშელი</t>
  </si>
  <si>
    <t>ხორცი და ხორცის პროდუქტები</t>
  </si>
  <si>
    <t>ქათმის ხორცი</t>
  </si>
  <si>
    <t>თევზეული</t>
  </si>
  <si>
    <t>თევზის ფილე</t>
  </si>
  <si>
    <t>რძე და რძის პროდუქტები</t>
  </si>
  <si>
    <t>ცხიმი</t>
  </si>
  <si>
    <t>ბოსტნეული</t>
  </si>
  <si>
    <t>კარტოფილი</t>
  </si>
  <si>
    <t>კომბოსტო</t>
  </si>
  <si>
    <t>ჭარხალი</t>
  </si>
  <si>
    <t>სტაფილო</t>
  </si>
  <si>
    <t>ხახვი</t>
  </si>
  <si>
    <t>ნიორი</t>
  </si>
  <si>
    <t>მწვანილი</t>
  </si>
  <si>
    <t>ხილი</t>
  </si>
  <si>
    <t>ხილი (სხვადასხვა)</t>
  </si>
  <si>
    <t>ხილფაფა</t>
  </si>
  <si>
    <t>მჟავე კიტრი</t>
  </si>
  <si>
    <t>სხვა</t>
  </si>
  <si>
    <t>კვერცხი (ცალობით)</t>
  </si>
  <si>
    <t>შაქარი</t>
  </si>
  <si>
    <t>მარილი</t>
  </si>
  <si>
    <t>ჩაი</t>
  </si>
  <si>
    <t>სანელებლები</t>
  </si>
  <si>
    <t>სულ</t>
  </si>
  <si>
    <t>მაწონი</t>
  </si>
  <si>
    <t>ყველი</t>
  </si>
  <si>
    <t>ტომატ-პასტა</t>
  </si>
  <si>
    <t>შვრიის ფანტელი ე.წ. "ჰერკულესი"</t>
  </si>
  <si>
    <t>მცენარეული ცხიმები (ზეთები)</t>
  </si>
  <si>
    <t>ხორბლის პური</t>
  </si>
  <si>
    <t>საფანელი</t>
  </si>
  <si>
    <t>ცხოველური ცხიმები (კარაქი 82%)</t>
  </si>
  <si>
    <t>ცხოველური ცხიმები (კარაქი ან სპრედი)</t>
  </si>
  <si>
    <t>კომბოსტო ყვავილოვანი</t>
  </si>
  <si>
    <t>გოგრა</t>
  </si>
  <si>
    <t>ლიმონი</t>
  </si>
  <si>
    <t>ხილის წვენი</t>
  </si>
  <si>
    <t>საფუარი</t>
  </si>
  <si>
    <t>რძე ნატურალური, პასტერიზებული (3,2%)</t>
  </si>
  <si>
    <t>არაჟანი 10%</t>
  </si>
  <si>
    <t>სალათის ფურცლები</t>
  </si>
  <si>
    <t>პური</t>
  </si>
  <si>
    <t>სავალდებულო სამხედრო მოსამსახურეთა დღიურ რაციონში შემავალი პროდუქტების ჩამონათვალი და ენერგეტიკული ღირებულება (შემოდგომა-ზამთარი)</t>
  </si>
  <si>
    <t>ქათმის ფილე</t>
  </si>
  <si>
    <t>სოსისი</t>
  </si>
  <si>
    <t>საქონლის ხორცი (I კატეგორიის)</t>
  </si>
  <si>
    <t>ხორბლის ფქვილი (I ხარისხის)</t>
  </si>
  <si>
    <t>შესქელებული რძე</t>
  </si>
  <si>
    <t>დანართი №5.2</t>
  </si>
  <si>
    <t>ხაჭო 20 % ცხიმიანობის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</si>
</sst>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AcadMtavr"/>
    </font>
    <font>
      <b/>
      <sz val="11"/>
      <color theme="1"/>
      <name val="AcadNusx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Sylfaen"/>
      <family val="1"/>
    </font>
    <font>
      <b/>
      <sz val="10"/>
      <name val="Sylfaen"/>
      <family val="1"/>
    </font>
    <font>
      <sz val="10"/>
      <color theme="1"/>
      <name val="Sylfaen"/>
      <family val="1"/>
    </font>
    <font>
      <b/>
      <sz val="10"/>
      <color theme="1"/>
      <name val="Sylfaen"/>
      <family val="1"/>
    </font>
    <font>
      <b/>
      <sz val="11"/>
      <color theme="1"/>
      <name val="Sylfae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8">
    <xf numFmtId="0" fontId="0" fillId="0" borderId="0" xfId="0"/>
    <xf numFmtId="0" fontId="0" fillId="0" borderId="0" xfId="0" applyFill="1"/>
    <xf numFmtId="2" fontId="5" fillId="0" borderId="1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 wrapText="1"/>
    </xf>
    <xf numFmtId="2" fontId="7" fillId="0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</cellXfs>
  <cellStyles count="2">
    <cellStyle name="Normal" xfId="0" builtinId="0"/>
    <cellStyle name="Normal 2" xfId="1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view="pageBreakPreview" zoomScaleNormal="100" zoomScaleSheetLayoutView="100" workbookViewId="0">
      <selection activeCell="K22" sqref="K22"/>
    </sheetView>
  </sheetViews>
  <sheetFormatPr defaultRowHeight="15.75" x14ac:dyDescent="0.3"/>
  <cols>
    <col min="1" max="1" width="3.28515625" style="10" customWidth="1"/>
    <col min="2" max="2" width="23.7109375" style="19" customWidth="1"/>
    <col min="3" max="3" width="8.28515625" style="7" customWidth="1"/>
    <col min="4" max="4" width="9.140625" style="7" customWidth="1"/>
    <col min="5" max="5" width="8.28515625" style="7" customWidth="1"/>
    <col min="6" max="6" width="8.7109375" style="7" customWidth="1"/>
    <col min="7" max="7" width="14.5703125" style="7" customWidth="1"/>
    <col min="8" max="8" width="16.140625" style="7" customWidth="1"/>
    <col min="9" max="9" width="9.140625" style="1"/>
  </cols>
  <sheetData>
    <row r="1" spans="1:8" ht="16.5" customHeight="1" thickBot="1" x14ac:dyDescent="0.3">
      <c r="A1" s="27" t="s">
        <v>68</v>
      </c>
      <c r="B1" s="26"/>
      <c r="C1" s="26"/>
      <c r="D1" s="26"/>
      <c r="E1" s="26"/>
      <c r="F1" s="26"/>
      <c r="G1" s="26"/>
      <c r="H1" s="26"/>
    </row>
    <row r="2" spans="1:8" ht="69.75" customHeight="1" thickBot="1" x14ac:dyDescent="0.3">
      <c r="A2" s="20" t="s">
        <v>62</v>
      </c>
      <c r="B2" s="20"/>
      <c r="C2" s="20"/>
      <c r="D2" s="20"/>
      <c r="E2" s="20"/>
      <c r="F2" s="20"/>
      <c r="G2" s="20"/>
      <c r="H2" s="20"/>
    </row>
    <row r="3" spans="1:8" ht="24" customHeight="1" thickBot="1" x14ac:dyDescent="0.3">
      <c r="A3" s="22"/>
      <c r="B3" s="23" t="s">
        <v>0</v>
      </c>
      <c r="C3" s="24" t="s">
        <v>1</v>
      </c>
      <c r="D3" s="24"/>
      <c r="E3" s="24" t="s">
        <v>2</v>
      </c>
      <c r="F3" s="24"/>
      <c r="G3" s="24"/>
      <c r="H3" s="25" t="s">
        <v>3</v>
      </c>
    </row>
    <row r="4" spans="1:8" ht="24.75" customHeight="1" thickBot="1" x14ac:dyDescent="0.3">
      <c r="A4" s="22"/>
      <c r="B4" s="23"/>
      <c r="C4" s="11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25"/>
    </row>
    <row r="5" spans="1:8" thickBot="1" x14ac:dyDescent="0.3">
      <c r="A5" s="12">
        <v>1</v>
      </c>
      <c r="B5" s="4" t="s">
        <v>49</v>
      </c>
      <c r="C5" s="5">
        <v>900</v>
      </c>
      <c r="D5" s="5">
        <f>C5*100%</f>
        <v>900</v>
      </c>
      <c r="E5" s="5">
        <f>D5*7.9%</f>
        <v>71.099999999999994</v>
      </c>
      <c r="F5" s="5">
        <f>D5*1%</f>
        <v>9</v>
      </c>
      <c r="G5" s="5">
        <f>D5*49.6%</f>
        <v>446.4</v>
      </c>
      <c r="H5" s="5">
        <f>4*(E5+G5)+9*F5</f>
        <v>2151</v>
      </c>
    </row>
    <row r="6" spans="1:8" ht="33" customHeight="1" thickBot="1" x14ac:dyDescent="0.3">
      <c r="A6" s="12">
        <v>2</v>
      </c>
      <c r="B6" s="4" t="s">
        <v>66</v>
      </c>
      <c r="C6" s="6">
        <v>23</v>
      </c>
      <c r="D6" s="6">
        <f>C6*100%</f>
        <v>23</v>
      </c>
      <c r="E6" s="6">
        <f>D6*10%</f>
        <v>2.3000000000000003</v>
      </c>
      <c r="F6" s="6">
        <f>D6*1.3%</f>
        <v>0.29900000000000004</v>
      </c>
      <c r="G6" s="6">
        <f>D6*69%</f>
        <v>15.87</v>
      </c>
      <c r="H6" s="6">
        <f t="shared" ref="H6:H7" si="0">4*(E6+G6)+9*F6</f>
        <v>75.370999999999995</v>
      </c>
    </row>
    <row r="7" spans="1:8" thickBot="1" x14ac:dyDescent="0.3">
      <c r="A7" s="12">
        <v>3</v>
      </c>
      <c r="B7" s="4" t="s">
        <v>50</v>
      </c>
      <c r="C7" s="6">
        <v>3.14</v>
      </c>
      <c r="D7" s="6">
        <f t="shared" ref="D7" si="1">C7*100%</f>
        <v>3.14</v>
      </c>
      <c r="E7" s="6">
        <f>D7*8%</f>
        <v>0.25120000000000003</v>
      </c>
      <c r="F7" s="6">
        <f>D7*1%</f>
        <v>3.1400000000000004E-2</v>
      </c>
      <c r="G7" s="6">
        <f>D7*50%</f>
        <v>1.57</v>
      </c>
      <c r="H7" s="6">
        <f t="shared" si="0"/>
        <v>7.567400000000001</v>
      </c>
    </row>
    <row r="8" spans="1:8" ht="16.5" customHeight="1" thickBot="1" x14ac:dyDescent="0.3">
      <c r="A8" s="21" t="s">
        <v>9</v>
      </c>
      <c r="B8" s="21"/>
      <c r="C8" s="21"/>
      <c r="D8" s="21"/>
      <c r="E8" s="21"/>
      <c r="F8" s="21"/>
      <c r="G8" s="21"/>
      <c r="H8" s="21"/>
    </row>
    <row r="9" spans="1:8" ht="16.5" customHeight="1" thickBot="1" x14ac:dyDescent="0.3">
      <c r="A9" s="12">
        <v>4</v>
      </c>
      <c r="B9" s="4" t="s">
        <v>10</v>
      </c>
      <c r="C9" s="3">
        <v>19.82</v>
      </c>
      <c r="D9" s="6">
        <f t="shared" ref="D9:D10" si="2">C9*100%</f>
        <v>19.82</v>
      </c>
      <c r="E9" s="6">
        <f>D9*20.8%</f>
        <v>4.12256</v>
      </c>
      <c r="F9" s="6">
        <f>D9*2%</f>
        <v>0.39640000000000003</v>
      </c>
      <c r="G9" s="6">
        <f>D9*46.6%</f>
        <v>9.2361200000000014</v>
      </c>
      <c r="H9" s="6">
        <f t="shared" ref="H9:H10" si="3">4*(E9+G9)+9*F9</f>
        <v>57.002320000000005</v>
      </c>
    </row>
    <row r="10" spans="1:8" thickBot="1" x14ac:dyDescent="0.3">
      <c r="A10" s="12">
        <v>5</v>
      </c>
      <c r="B10" s="4" t="s">
        <v>11</v>
      </c>
      <c r="C10" s="3">
        <v>18.57</v>
      </c>
      <c r="D10" s="6">
        <f t="shared" si="2"/>
        <v>18.57</v>
      </c>
      <c r="E10" s="6">
        <f>D10*20%</f>
        <v>3.7140000000000004</v>
      </c>
      <c r="F10" s="6">
        <f>D10*2%</f>
        <v>0.37140000000000001</v>
      </c>
      <c r="G10" s="6">
        <f>D10*48%</f>
        <v>8.9136000000000006</v>
      </c>
      <c r="H10" s="6">
        <f t="shared" si="3"/>
        <v>53.853000000000002</v>
      </c>
    </row>
    <row r="11" spans="1:8" ht="16.5" customHeight="1" thickBot="1" x14ac:dyDescent="0.3">
      <c r="A11" s="21" t="s">
        <v>12</v>
      </c>
      <c r="B11" s="21"/>
      <c r="C11" s="21"/>
      <c r="D11" s="21"/>
      <c r="E11" s="21"/>
      <c r="F11" s="21"/>
      <c r="G11" s="21"/>
      <c r="H11" s="21"/>
    </row>
    <row r="12" spans="1:8" ht="16.5" customHeight="1" thickBot="1" x14ac:dyDescent="0.3">
      <c r="A12" s="12">
        <v>6</v>
      </c>
      <c r="B12" s="4" t="s">
        <v>13</v>
      </c>
      <c r="C12" s="6">
        <v>4.6399999999999997</v>
      </c>
      <c r="D12" s="6">
        <f t="shared" ref="D12:D15" si="4">C12*100%</f>
        <v>4.6399999999999997</v>
      </c>
      <c r="E12" s="6">
        <f>D12*11.25%</f>
        <v>0.52200000000000002</v>
      </c>
      <c r="F12" s="6">
        <f>0.87%*D12</f>
        <v>4.0367999999999994E-2</v>
      </c>
      <c r="G12" s="6">
        <f>67.7%*D12</f>
        <v>3.1412800000000001</v>
      </c>
      <c r="H12" s="6">
        <f t="shared" ref="H12:H15" si="5">4*(E12+G12)+9*F12</f>
        <v>15.016432000000002</v>
      </c>
    </row>
    <row r="13" spans="1:8" thickBot="1" x14ac:dyDescent="0.3">
      <c r="A13" s="12">
        <v>7</v>
      </c>
      <c r="B13" s="4" t="s">
        <v>14</v>
      </c>
      <c r="C13" s="6">
        <v>35.71</v>
      </c>
      <c r="D13" s="6">
        <f t="shared" si="4"/>
        <v>35.71</v>
      </c>
      <c r="E13" s="6">
        <f>10.78%*D13</f>
        <v>3.8495379999999999</v>
      </c>
      <c r="F13" s="6">
        <f>3.14%*D13</f>
        <v>1.1212940000000002</v>
      </c>
      <c r="G13" s="6">
        <f>55.9%*D13</f>
        <v>19.961889999999997</v>
      </c>
      <c r="H13" s="6">
        <f t="shared" si="5"/>
        <v>105.33735799999998</v>
      </c>
    </row>
    <row r="14" spans="1:8" thickBot="1" x14ac:dyDescent="0.3">
      <c r="A14" s="12">
        <v>8</v>
      </c>
      <c r="B14" s="4" t="s">
        <v>15</v>
      </c>
      <c r="C14" s="6">
        <v>22.29</v>
      </c>
      <c r="D14" s="6">
        <f t="shared" si="4"/>
        <v>22.29</v>
      </c>
      <c r="E14" s="6">
        <f>7.4%*D14</f>
        <v>1.6494600000000001</v>
      </c>
      <c r="F14" s="6">
        <f>3.14%*D14</f>
        <v>0.69990600000000003</v>
      </c>
      <c r="G14" s="6">
        <f>62.3%*D14</f>
        <v>13.886669999999999</v>
      </c>
      <c r="H14" s="6">
        <f t="shared" si="5"/>
        <v>68.443673999999987</v>
      </c>
    </row>
    <row r="15" spans="1:8" ht="30.75" thickBot="1" x14ac:dyDescent="0.3">
      <c r="A15" s="12">
        <v>9</v>
      </c>
      <c r="B15" s="4" t="s">
        <v>47</v>
      </c>
      <c r="C15" s="6">
        <v>10.71</v>
      </c>
      <c r="D15" s="6">
        <f t="shared" si="4"/>
        <v>10.71</v>
      </c>
      <c r="E15" s="6">
        <f>12%*D15</f>
        <v>1.2852000000000001</v>
      </c>
      <c r="F15" s="6">
        <f>6.2%*D15</f>
        <v>0.66402000000000005</v>
      </c>
      <c r="G15" s="6">
        <f>62%*D15</f>
        <v>6.6402000000000001</v>
      </c>
      <c r="H15" s="6">
        <f t="shared" si="5"/>
        <v>37.677779999999998</v>
      </c>
    </row>
    <row r="16" spans="1:8" ht="16.5" customHeight="1" thickBot="1" x14ac:dyDescent="0.3">
      <c r="A16" s="21" t="s">
        <v>16</v>
      </c>
      <c r="B16" s="21"/>
      <c r="C16" s="21"/>
      <c r="D16" s="21"/>
      <c r="E16" s="21"/>
      <c r="F16" s="21"/>
      <c r="G16" s="21"/>
      <c r="H16" s="21"/>
    </row>
    <row r="17" spans="1:8" ht="16.5" customHeight="1" thickBot="1" x14ac:dyDescent="0.3">
      <c r="A17" s="12">
        <v>10</v>
      </c>
      <c r="B17" s="4" t="s">
        <v>17</v>
      </c>
      <c r="C17" s="3">
        <v>11.43</v>
      </c>
      <c r="D17" s="6">
        <f t="shared" ref="D17:D18" si="6">C17*100%</f>
        <v>11.43</v>
      </c>
      <c r="E17" s="6">
        <f>9.15%*D17</f>
        <v>1.0458449999999999</v>
      </c>
      <c r="F17" s="6">
        <f>0.8%*D17</f>
        <v>9.1439999999999994E-2</v>
      </c>
      <c r="G17" s="6">
        <f>60%*D17</f>
        <v>6.8579999999999997</v>
      </c>
      <c r="H17" s="6">
        <f>4*(E17+G17)+9*F17</f>
        <v>32.438339999999997</v>
      </c>
    </row>
    <row r="18" spans="1:8" ht="16.5" customHeight="1" thickBot="1" x14ac:dyDescent="0.3">
      <c r="A18" s="12">
        <v>11</v>
      </c>
      <c r="B18" s="4" t="s">
        <v>18</v>
      </c>
      <c r="C18" s="3">
        <v>7.86</v>
      </c>
      <c r="D18" s="6">
        <f t="shared" si="6"/>
        <v>7.86</v>
      </c>
      <c r="E18" s="6">
        <f>9.09%*D18</f>
        <v>0.71447399999999994</v>
      </c>
      <c r="F18" s="6">
        <f>0.9%*D18</f>
        <v>7.0740000000000011E-2</v>
      </c>
      <c r="G18" s="6">
        <f>63.6%*D18</f>
        <v>4.9989600000000003</v>
      </c>
      <c r="H18" s="6">
        <f>4*(E18+G18)+9*F18</f>
        <v>23.490396</v>
      </c>
    </row>
    <row r="19" spans="1:8" ht="16.5" customHeight="1" thickBot="1" x14ac:dyDescent="0.3">
      <c r="A19" s="21" t="s">
        <v>19</v>
      </c>
      <c r="B19" s="21"/>
      <c r="C19" s="21"/>
      <c r="D19" s="21"/>
      <c r="E19" s="21"/>
      <c r="F19" s="21"/>
      <c r="G19" s="21"/>
      <c r="H19" s="21"/>
    </row>
    <row r="20" spans="1:8" ht="31.5" customHeight="1" thickBot="1" x14ac:dyDescent="0.3">
      <c r="A20" s="12">
        <v>12</v>
      </c>
      <c r="B20" s="4" t="s">
        <v>65</v>
      </c>
      <c r="C20" s="3">
        <v>208.21</v>
      </c>
      <c r="D20" s="6">
        <f>C20*75%</f>
        <v>156.1575</v>
      </c>
      <c r="E20" s="6">
        <f>18.6%*D20</f>
        <v>29.045295000000003</v>
      </c>
      <c r="F20" s="6">
        <f>17.3%*D20</f>
        <v>27.015247500000001</v>
      </c>
      <c r="G20" s="6"/>
      <c r="H20" s="6">
        <f>4*(E20+G20)+9*F20</f>
        <v>359.31840750000003</v>
      </c>
    </row>
    <row r="21" spans="1:8" ht="16.5" customHeight="1" thickBot="1" x14ac:dyDescent="0.3">
      <c r="A21" s="12">
        <v>13</v>
      </c>
      <c r="B21" s="4" t="s">
        <v>20</v>
      </c>
      <c r="C21" s="3">
        <v>34.29</v>
      </c>
      <c r="D21" s="6">
        <f>C21*72%</f>
        <v>24.688799999999997</v>
      </c>
      <c r="E21" s="6">
        <f>18.5%*D21</f>
        <v>4.5674279999999996</v>
      </c>
      <c r="F21" s="6">
        <f>15.9%*D21</f>
        <v>3.9255191999999997</v>
      </c>
      <c r="G21" s="6"/>
      <c r="H21" s="6">
        <f>4*(E21+G21)+9*F21</f>
        <v>53.599384799999996</v>
      </c>
    </row>
    <row r="22" spans="1:8" thickBot="1" x14ac:dyDescent="0.3">
      <c r="A22" s="15">
        <v>14</v>
      </c>
      <c r="B22" s="16" t="s">
        <v>63</v>
      </c>
      <c r="C22" s="6">
        <v>21.43</v>
      </c>
      <c r="D22" s="6">
        <f>C22*92%</f>
        <v>19.715600000000002</v>
      </c>
      <c r="E22" s="6">
        <f>23%*D22</f>
        <v>4.5345880000000003</v>
      </c>
      <c r="F22" s="6">
        <f>1.9%*D22</f>
        <v>0.37459640000000005</v>
      </c>
      <c r="G22" s="6">
        <f>0.7%*D22</f>
        <v>0.1380092</v>
      </c>
      <c r="H22" s="6">
        <f>4*(E22+G22)+9*F22</f>
        <v>22.0617564</v>
      </c>
    </row>
    <row r="23" spans="1:8" ht="16.5" customHeight="1" thickBot="1" x14ac:dyDescent="0.3">
      <c r="A23" s="15">
        <v>15</v>
      </c>
      <c r="B23" s="16" t="s">
        <v>64</v>
      </c>
      <c r="C23" s="6">
        <v>21.43</v>
      </c>
      <c r="D23" s="6">
        <f>100%*C23</f>
        <v>21.43</v>
      </c>
      <c r="E23" s="6">
        <f>11.8%*D23</f>
        <v>2.52874</v>
      </c>
      <c r="F23" s="6">
        <f>20.1%*D23</f>
        <v>4.3074300000000001</v>
      </c>
      <c r="G23" s="6">
        <f>0.87%*D23</f>
        <v>0.186441</v>
      </c>
      <c r="H23" s="6">
        <f>4*(E23+G23)+9*F23</f>
        <v>49.627593999999995</v>
      </c>
    </row>
    <row r="24" spans="1:8" ht="16.5" customHeight="1" thickBot="1" x14ac:dyDescent="0.3">
      <c r="A24" s="21" t="s">
        <v>21</v>
      </c>
      <c r="B24" s="21"/>
      <c r="C24" s="21"/>
      <c r="D24" s="21"/>
      <c r="E24" s="21"/>
      <c r="F24" s="21"/>
      <c r="G24" s="21"/>
      <c r="H24" s="21"/>
    </row>
    <row r="25" spans="1:8" ht="16.5" customHeight="1" thickBot="1" x14ac:dyDescent="0.3">
      <c r="A25" s="12">
        <v>16</v>
      </c>
      <c r="B25" s="4" t="s">
        <v>22</v>
      </c>
      <c r="C25" s="3">
        <v>75</v>
      </c>
      <c r="D25" s="6">
        <f>92%*C25</f>
        <v>69</v>
      </c>
      <c r="E25" s="6">
        <f>15.48%*D25</f>
        <v>10.681199999999999</v>
      </c>
      <c r="F25" s="6">
        <f>8.69%*D25</f>
        <v>5.9960999999999993</v>
      </c>
      <c r="G25" s="6"/>
      <c r="H25" s="6">
        <f>4*(E25+G25)+9*F25</f>
        <v>96.689699999999988</v>
      </c>
    </row>
    <row r="26" spans="1:8" ht="16.5" customHeight="1" thickBot="1" x14ac:dyDescent="0.3">
      <c r="A26" s="21" t="s">
        <v>23</v>
      </c>
      <c r="B26" s="21"/>
      <c r="C26" s="21"/>
      <c r="D26" s="21"/>
      <c r="E26" s="21"/>
      <c r="F26" s="21"/>
      <c r="G26" s="21"/>
      <c r="H26" s="21"/>
    </row>
    <row r="27" spans="1:8" thickBot="1" x14ac:dyDescent="0.3">
      <c r="A27" s="12">
        <v>17</v>
      </c>
      <c r="B27" s="4" t="s">
        <v>67</v>
      </c>
      <c r="C27" s="3">
        <v>32.29</v>
      </c>
      <c r="D27" s="6">
        <f t="shared" ref="D27:D31" si="7">100%*C27</f>
        <v>32.29</v>
      </c>
      <c r="E27" s="6">
        <f>6.97%*D27</f>
        <v>2.250613</v>
      </c>
      <c r="F27" s="6">
        <f>8.13%*D27</f>
        <v>2.6251770000000003</v>
      </c>
      <c r="G27" s="6">
        <f>9.8%*C27</f>
        <v>3.1644200000000002</v>
      </c>
      <c r="H27" s="6">
        <f t="shared" ref="H27:H31" si="8">4*(E27+G27)+9*F27</f>
        <v>45.286725000000004</v>
      </c>
    </row>
    <row r="28" spans="1:8" ht="29.25" customHeight="1" thickBot="1" x14ac:dyDescent="0.3">
      <c r="A28" s="12">
        <v>18</v>
      </c>
      <c r="B28" s="14" t="s">
        <v>58</v>
      </c>
      <c r="C28" s="13">
        <v>6.43</v>
      </c>
      <c r="D28" s="13">
        <f t="shared" si="7"/>
        <v>6.43</v>
      </c>
      <c r="E28" s="13">
        <f>2.8%*D28</f>
        <v>0.18003999999999998</v>
      </c>
      <c r="F28" s="13">
        <f>3.2%*D28</f>
        <v>0.20576</v>
      </c>
      <c r="G28" s="13">
        <f>4.7%*D28</f>
        <v>0.30220999999999998</v>
      </c>
      <c r="H28" s="13">
        <f t="shared" si="8"/>
        <v>3.7808399999999995</v>
      </c>
    </row>
    <row r="29" spans="1:8" thickBot="1" x14ac:dyDescent="0.3">
      <c r="A29" s="15">
        <v>19</v>
      </c>
      <c r="B29" s="4" t="s">
        <v>44</v>
      </c>
      <c r="C29" s="3">
        <v>37.14</v>
      </c>
      <c r="D29" s="6">
        <f t="shared" si="7"/>
        <v>37.14</v>
      </c>
      <c r="E29" s="6">
        <f>2.8%*D29</f>
        <v>1.03992</v>
      </c>
      <c r="F29" s="6">
        <f>3.2%*D29</f>
        <v>1.18848</v>
      </c>
      <c r="G29" s="6">
        <f>4.7%*D29</f>
        <v>1.7455800000000001</v>
      </c>
      <c r="H29" s="6">
        <f t="shared" si="8"/>
        <v>21.83832</v>
      </c>
    </row>
    <row r="30" spans="1:8" ht="15.75" customHeight="1" thickBot="1" x14ac:dyDescent="0.3">
      <c r="A30" s="15">
        <v>20</v>
      </c>
      <c r="B30" s="17" t="s">
        <v>69</v>
      </c>
      <c r="C30" s="3">
        <v>14.29</v>
      </c>
      <c r="D30" s="6">
        <f t="shared" si="7"/>
        <v>14.29</v>
      </c>
      <c r="E30" s="6">
        <f>10%*D30</f>
        <v>1.429</v>
      </c>
      <c r="F30" s="6">
        <f>20%*D30</f>
        <v>2.8580000000000001</v>
      </c>
      <c r="G30" s="6">
        <f>2.8%*D30</f>
        <v>0.40011999999999992</v>
      </c>
      <c r="H30" s="6">
        <f t="shared" si="8"/>
        <v>33.03848</v>
      </c>
    </row>
    <row r="31" spans="1:8" thickBot="1" x14ac:dyDescent="0.3">
      <c r="A31" s="15">
        <v>21</v>
      </c>
      <c r="B31" s="4" t="s">
        <v>59</v>
      </c>
      <c r="C31" s="13">
        <v>23.57</v>
      </c>
      <c r="D31" s="13">
        <f t="shared" si="7"/>
        <v>23.57</v>
      </c>
      <c r="E31" s="13">
        <f>2.6%*D31</f>
        <v>0.61282000000000003</v>
      </c>
      <c r="F31" s="13">
        <f>10%*D31</f>
        <v>2.3570000000000002</v>
      </c>
      <c r="G31" s="13">
        <f>3.8%*D31</f>
        <v>0.89566000000000001</v>
      </c>
      <c r="H31" s="13">
        <f t="shared" si="8"/>
        <v>27.246920000000003</v>
      </c>
    </row>
    <row r="32" spans="1:8" thickBot="1" x14ac:dyDescent="0.3">
      <c r="A32" s="15">
        <v>22</v>
      </c>
      <c r="B32" s="4" t="s">
        <v>45</v>
      </c>
      <c r="C32" s="3">
        <v>21.71</v>
      </c>
      <c r="D32" s="6">
        <f>80%*C32</f>
        <v>17.368000000000002</v>
      </c>
      <c r="E32" s="6">
        <f>17.9%*D32</f>
        <v>3.1088720000000003</v>
      </c>
      <c r="F32" s="6">
        <f>14.3%*D32</f>
        <v>2.4836240000000007</v>
      </c>
      <c r="G32" s="6"/>
      <c r="H32" s="6">
        <f>4*(E32+G32)+9*F32</f>
        <v>34.788104000000004</v>
      </c>
    </row>
    <row r="33" spans="1:8" ht="16.5" thickBot="1" x14ac:dyDescent="0.3">
      <c r="A33" s="21" t="s">
        <v>24</v>
      </c>
      <c r="B33" s="21"/>
      <c r="C33" s="21"/>
      <c r="D33" s="21"/>
      <c r="E33" s="21"/>
      <c r="F33" s="21"/>
      <c r="G33" s="21"/>
      <c r="H33" s="21"/>
    </row>
    <row r="34" spans="1:8" ht="30.75" thickBot="1" x14ac:dyDescent="0.3">
      <c r="A34" s="12">
        <v>23</v>
      </c>
      <c r="B34" s="4" t="s">
        <v>48</v>
      </c>
      <c r="C34" s="3">
        <v>27.14</v>
      </c>
      <c r="D34" s="6">
        <f>100%*C34</f>
        <v>27.14</v>
      </c>
      <c r="E34" s="6"/>
      <c r="F34" s="6">
        <f>99.9%*D34</f>
        <v>27.112860000000005</v>
      </c>
      <c r="G34" s="6"/>
      <c r="H34" s="6">
        <f>4*(E34+G34)+9*F34</f>
        <v>244.01574000000005</v>
      </c>
    </row>
    <row r="35" spans="1:8" ht="30.75" thickBot="1" x14ac:dyDescent="0.3">
      <c r="A35" s="12">
        <v>24</v>
      </c>
      <c r="B35" s="14" t="s">
        <v>51</v>
      </c>
      <c r="C35" s="13">
        <v>11.93</v>
      </c>
      <c r="D35" s="13">
        <f>100%*C35</f>
        <v>11.93</v>
      </c>
      <c r="E35" s="13">
        <f>0.5%*D35</f>
        <v>5.9650000000000002E-2</v>
      </c>
      <c r="F35" s="13">
        <f>82.5%*D35</f>
        <v>9.8422499999999999</v>
      </c>
      <c r="G35" s="13">
        <f>0.8%*D35</f>
        <v>9.5439999999999997E-2</v>
      </c>
      <c r="H35" s="13">
        <f>4*(E35+G35)+9*F35</f>
        <v>89.200610000000012</v>
      </c>
    </row>
    <row r="36" spans="1:8" ht="30.75" customHeight="1" thickBot="1" x14ac:dyDescent="0.3">
      <c r="A36" s="15">
        <v>25</v>
      </c>
      <c r="B36" s="14" t="s">
        <v>52</v>
      </c>
      <c r="C36" s="13">
        <v>17.93</v>
      </c>
      <c r="D36" s="13">
        <f>100%*C36</f>
        <v>17.93</v>
      </c>
      <c r="E36" s="13"/>
      <c r="F36" s="13">
        <f>72.57%*D36</f>
        <v>13.011800999999998</v>
      </c>
      <c r="G36" s="13"/>
      <c r="H36" s="13">
        <f>4*(E36+G36)+9*F36</f>
        <v>117.10620899999998</v>
      </c>
    </row>
    <row r="37" spans="1:8" ht="16.5" customHeight="1" thickBot="1" x14ac:dyDescent="0.3">
      <c r="A37" s="21" t="s">
        <v>25</v>
      </c>
      <c r="B37" s="21"/>
      <c r="C37" s="21"/>
      <c r="D37" s="21"/>
      <c r="E37" s="21"/>
      <c r="F37" s="21"/>
      <c r="G37" s="21"/>
      <c r="H37" s="21"/>
    </row>
    <row r="38" spans="1:8" ht="16.5" customHeight="1" thickBot="1" x14ac:dyDescent="0.3">
      <c r="A38" s="12">
        <v>26</v>
      </c>
      <c r="B38" s="4" t="s">
        <v>26</v>
      </c>
      <c r="C38" s="3">
        <v>356.07</v>
      </c>
      <c r="D38" s="6">
        <f>72%*C38</f>
        <v>256.37039999999996</v>
      </c>
      <c r="E38" s="6">
        <f>2.1%*D38</f>
        <v>5.3837783999999997</v>
      </c>
      <c r="F38" s="6">
        <f>0.4%*D38</f>
        <v>1.0254815999999998</v>
      </c>
      <c r="G38" s="6">
        <f>15.6%*D38</f>
        <v>39.993782399999994</v>
      </c>
      <c r="H38" s="6">
        <f>4*(E38+G38)+9*F38</f>
        <v>190.73957759999996</v>
      </c>
    </row>
    <row r="39" spans="1:8" thickBot="1" x14ac:dyDescent="0.3">
      <c r="A39" s="12">
        <v>27</v>
      </c>
      <c r="B39" s="4" t="s">
        <v>27</v>
      </c>
      <c r="C39" s="3">
        <v>68.569999999999993</v>
      </c>
      <c r="D39" s="6">
        <f>75%*C39</f>
        <v>51.427499999999995</v>
      </c>
      <c r="E39" s="6">
        <f>1.87%*D39</f>
        <v>0.96169424999999997</v>
      </c>
      <c r="F39" s="6"/>
      <c r="G39" s="6">
        <f>4.16%*D39</f>
        <v>2.1393839999999997</v>
      </c>
      <c r="H39" s="6">
        <f>4*(E39+G39)+9*F39</f>
        <v>12.404312999999998</v>
      </c>
    </row>
    <row r="40" spans="1:8" ht="15" customHeight="1" thickBot="1" x14ac:dyDescent="0.3">
      <c r="A40" s="15">
        <v>28</v>
      </c>
      <c r="B40" s="14" t="s">
        <v>53</v>
      </c>
      <c r="C40" s="13">
        <v>25.71</v>
      </c>
      <c r="D40" s="13">
        <f>75%*C40</f>
        <v>19.282499999999999</v>
      </c>
      <c r="E40" s="13">
        <f>1.87%*D40</f>
        <v>0.36058275000000001</v>
      </c>
      <c r="F40" s="13"/>
      <c r="G40" s="13">
        <f>4.15%*D40</f>
        <v>0.80022375000000001</v>
      </c>
      <c r="H40" s="13">
        <f>4*(E40+G40)+9*F40</f>
        <v>4.6432260000000003</v>
      </c>
    </row>
    <row r="41" spans="1:8" thickBot="1" x14ac:dyDescent="0.3">
      <c r="A41" s="15">
        <v>29</v>
      </c>
      <c r="B41" s="4" t="s">
        <v>28</v>
      </c>
      <c r="C41" s="3">
        <v>12.5</v>
      </c>
      <c r="D41" s="6">
        <f>90%*C41</f>
        <v>11.25</v>
      </c>
      <c r="E41" s="6">
        <f>1.66%*D41</f>
        <v>0.18675</v>
      </c>
      <c r="F41" s="6"/>
      <c r="G41" s="6">
        <f>10%*D41</f>
        <v>1.125</v>
      </c>
      <c r="H41" s="6">
        <f>4*(E41+G41)+9*F41</f>
        <v>5.2469999999999999</v>
      </c>
    </row>
    <row r="42" spans="1:8" thickBot="1" x14ac:dyDescent="0.3">
      <c r="A42" s="15">
        <v>30</v>
      </c>
      <c r="B42" s="4" t="s">
        <v>29</v>
      </c>
      <c r="C42" s="3">
        <v>96.71</v>
      </c>
      <c r="D42" s="6">
        <f>80%*C42</f>
        <v>77.367999999999995</v>
      </c>
      <c r="E42" s="6">
        <f>1.77%*D42</f>
        <v>1.3694135999999999</v>
      </c>
      <c r="F42" s="6"/>
      <c r="G42" s="6">
        <f>11%*D42</f>
        <v>8.5104799999999994</v>
      </c>
      <c r="H42" s="6">
        <f>4*(E42+G42)+9*F42</f>
        <v>39.519574399999996</v>
      </c>
    </row>
    <row r="43" spans="1:8" thickBot="1" x14ac:dyDescent="0.3">
      <c r="A43" s="15">
        <v>31</v>
      </c>
      <c r="B43" s="4" t="s">
        <v>30</v>
      </c>
      <c r="C43" s="3">
        <v>38.07</v>
      </c>
      <c r="D43" s="6">
        <f>90%*C43</f>
        <v>34.262999999999998</v>
      </c>
      <c r="E43" s="6">
        <f>1.58%*D43</f>
        <v>0.54135540000000004</v>
      </c>
      <c r="F43" s="6"/>
      <c r="G43" s="6">
        <f>9.5%*D43</f>
        <v>3.254985</v>
      </c>
      <c r="H43" s="6">
        <f t="shared" ref="H43:H44" si="9">4*(E43+G43)+9*F43</f>
        <v>15.1853616</v>
      </c>
    </row>
    <row r="44" spans="1:8" thickBot="1" x14ac:dyDescent="0.3">
      <c r="A44" s="15">
        <v>32</v>
      </c>
      <c r="B44" s="4" t="s">
        <v>31</v>
      </c>
      <c r="C44" s="3">
        <v>1.05</v>
      </c>
      <c r="D44" s="6">
        <f>92%*C44</f>
        <v>0.96600000000000008</v>
      </c>
      <c r="E44" s="6"/>
      <c r="F44" s="6"/>
      <c r="G44" s="6"/>
      <c r="H44" s="6">
        <f t="shared" si="9"/>
        <v>0</v>
      </c>
    </row>
    <row r="45" spans="1:8" thickBot="1" x14ac:dyDescent="0.3">
      <c r="A45" s="15">
        <v>33</v>
      </c>
      <c r="B45" s="14" t="s">
        <v>54</v>
      </c>
      <c r="C45" s="13">
        <v>28.57</v>
      </c>
      <c r="D45" s="13">
        <f>70%*C45</f>
        <v>19.998999999999999</v>
      </c>
      <c r="E45" s="13">
        <f>1.3%*D45</f>
        <v>0.25998700000000002</v>
      </c>
      <c r="F45" s="13"/>
      <c r="G45" s="13">
        <f>6.6%*D45</f>
        <v>1.3199339999999999</v>
      </c>
      <c r="H45" s="13">
        <f>4*(E45+G45)+9*F45</f>
        <v>6.3196839999999996</v>
      </c>
    </row>
    <row r="46" spans="1:8" thickBot="1" x14ac:dyDescent="0.3">
      <c r="A46" s="15">
        <v>34</v>
      </c>
      <c r="B46" s="14" t="s">
        <v>60</v>
      </c>
      <c r="C46" s="13">
        <v>3.57</v>
      </c>
      <c r="D46" s="13">
        <f>85%*C46</f>
        <v>3.0345</v>
      </c>
      <c r="E46" s="13"/>
      <c r="F46" s="13"/>
      <c r="G46" s="13"/>
      <c r="H46" s="13">
        <f>4*(E46+G46)+9*F46</f>
        <v>0</v>
      </c>
    </row>
    <row r="47" spans="1:8" ht="17.25" customHeight="1" thickBot="1" x14ac:dyDescent="0.3">
      <c r="A47" s="15">
        <v>35</v>
      </c>
      <c r="B47" s="4" t="s">
        <v>32</v>
      </c>
      <c r="C47" s="3">
        <v>22.25</v>
      </c>
      <c r="D47" s="6">
        <f>85%*C47</f>
        <v>18.912499999999998</v>
      </c>
      <c r="E47" s="6"/>
      <c r="F47" s="6"/>
      <c r="G47" s="6"/>
      <c r="H47" s="6">
        <f>4*(E47+G47)+9*F47</f>
        <v>0</v>
      </c>
    </row>
    <row r="48" spans="1:8" ht="16.5" thickBot="1" x14ac:dyDescent="0.3">
      <c r="A48" s="21" t="s">
        <v>33</v>
      </c>
      <c r="B48" s="21"/>
      <c r="C48" s="21"/>
      <c r="D48" s="21"/>
      <c r="E48" s="21"/>
      <c r="F48" s="21"/>
      <c r="G48" s="21"/>
      <c r="H48" s="21"/>
    </row>
    <row r="49" spans="1:8" thickBot="1" x14ac:dyDescent="0.3">
      <c r="A49" s="12">
        <v>36</v>
      </c>
      <c r="B49" s="4" t="s">
        <v>34</v>
      </c>
      <c r="C49" s="3">
        <v>98.57</v>
      </c>
      <c r="D49" s="6">
        <f>86%*C49</f>
        <v>84.770199999999988</v>
      </c>
      <c r="E49" s="6"/>
      <c r="F49" s="6"/>
      <c r="G49" s="6">
        <f>12%*D49</f>
        <v>10.172423999999998</v>
      </c>
      <c r="H49" s="6">
        <f>4*(E49+G49)+9*F49</f>
        <v>40.689695999999991</v>
      </c>
    </row>
    <row r="50" spans="1:8" thickBot="1" x14ac:dyDescent="0.3">
      <c r="A50" s="12">
        <v>37</v>
      </c>
      <c r="B50" s="4" t="s">
        <v>35</v>
      </c>
      <c r="C50" s="3">
        <v>5.71</v>
      </c>
      <c r="D50" s="6">
        <f t="shared" ref="D50" si="10">100%*C50</f>
        <v>5.71</v>
      </c>
      <c r="E50" s="6"/>
      <c r="F50" s="6"/>
      <c r="G50" s="6">
        <f>70.1%*D50</f>
        <v>4.0027099999999995</v>
      </c>
      <c r="H50" s="6">
        <f>4*(E50+G50)+9*F50</f>
        <v>16.010839999999998</v>
      </c>
    </row>
    <row r="51" spans="1:8" thickBot="1" x14ac:dyDescent="0.3">
      <c r="A51" s="15">
        <v>38</v>
      </c>
      <c r="B51" s="4" t="s">
        <v>55</v>
      </c>
      <c r="C51" s="13">
        <v>32.14</v>
      </c>
      <c r="D51" s="13">
        <f>40%*C51</f>
        <v>12.856000000000002</v>
      </c>
      <c r="E51" s="13">
        <f>1.9%*D51</f>
        <v>0.24426400000000004</v>
      </c>
      <c r="F51" s="13"/>
      <c r="G51" s="13">
        <f>3.6%*D51</f>
        <v>0.46281600000000012</v>
      </c>
      <c r="H51" s="13">
        <f>4*(E51+G51)+9*F51</f>
        <v>2.8283200000000006</v>
      </c>
    </row>
    <row r="52" spans="1:8" ht="16.5" thickBot="1" x14ac:dyDescent="0.3">
      <c r="A52" s="21" t="s">
        <v>37</v>
      </c>
      <c r="B52" s="21"/>
      <c r="C52" s="21"/>
      <c r="D52" s="21"/>
      <c r="E52" s="21"/>
      <c r="F52" s="21"/>
      <c r="G52" s="21"/>
      <c r="H52" s="21"/>
    </row>
    <row r="53" spans="1:8" thickBot="1" x14ac:dyDescent="0.3">
      <c r="A53" s="12">
        <v>39</v>
      </c>
      <c r="B53" s="18" t="s">
        <v>38</v>
      </c>
      <c r="C53" s="3">
        <v>0.95</v>
      </c>
      <c r="D53" s="6">
        <f>C53*48</f>
        <v>45.599999999999994</v>
      </c>
      <c r="E53" s="6">
        <f>12.7%*D53</f>
        <v>5.791199999999999</v>
      </c>
      <c r="F53" s="6">
        <f>11.5%*D53</f>
        <v>5.2439999999999998</v>
      </c>
      <c r="G53" s="6"/>
      <c r="H53" s="6">
        <f t="shared" ref="H53:H58" si="11">4*(E53+G53)+9*F53</f>
        <v>70.360799999999998</v>
      </c>
    </row>
    <row r="54" spans="1:8" thickBot="1" x14ac:dyDescent="0.3">
      <c r="A54" s="12">
        <v>40</v>
      </c>
      <c r="B54" s="4" t="s">
        <v>39</v>
      </c>
      <c r="C54" s="3">
        <v>51.79</v>
      </c>
      <c r="D54" s="6">
        <f t="shared" ref="D54:D58" si="12">100%*C54</f>
        <v>51.79</v>
      </c>
      <c r="E54" s="6"/>
      <c r="F54" s="6"/>
      <c r="G54" s="6">
        <f>99%*D54</f>
        <v>51.272100000000002</v>
      </c>
      <c r="H54" s="6">
        <f t="shared" si="11"/>
        <v>205.08840000000001</v>
      </c>
    </row>
    <row r="55" spans="1:8" thickBot="1" x14ac:dyDescent="0.3">
      <c r="A55" s="15">
        <v>41</v>
      </c>
      <c r="B55" s="4" t="s">
        <v>40</v>
      </c>
      <c r="C55" s="3">
        <v>7.79</v>
      </c>
      <c r="D55" s="6">
        <f t="shared" si="12"/>
        <v>7.79</v>
      </c>
      <c r="E55" s="6"/>
      <c r="F55" s="6"/>
      <c r="G55" s="6"/>
      <c r="H55" s="6">
        <f t="shared" si="11"/>
        <v>0</v>
      </c>
    </row>
    <row r="56" spans="1:8" thickBot="1" x14ac:dyDescent="0.3">
      <c r="A56" s="15">
        <v>42</v>
      </c>
      <c r="B56" s="4" t="s">
        <v>41</v>
      </c>
      <c r="C56" s="3">
        <v>1.79</v>
      </c>
      <c r="D56" s="6">
        <f t="shared" si="12"/>
        <v>1.79</v>
      </c>
      <c r="E56" s="6"/>
      <c r="F56" s="6"/>
      <c r="G56" s="6"/>
      <c r="H56" s="6">
        <f t="shared" si="11"/>
        <v>0</v>
      </c>
    </row>
    <row r="57" spans="1:8" thickBot="1" x14ac:dyDescent="0.3">
      <c r="A57" s="15">
        <v>43</v>
      </c>
      <c r="B57" s="4" t="s">
        <v>42</v>
      </c>
      <c r="C57" s="3">
        <v>0.41</v>
      </c>
      <c r="D57" s="6">
        <f t="shared" si="12"/>
        <v>0.41</v>
      </c>
      <c r="E57" s="6"/>
      <c r="F57" s="6"/>
      <c r="G57" s="6"/>
      <c r="H57" s="6">
        <f t="shared" si="11"/>
        <v>0</v>
      </c>
    </row>
    <row r="58" spans="1:8" thickBot="1" x14ac:dyDescent="0.3">
      <c r="A58" s="15">
        <v>44</v>
      </c>
      <c r="B58" s="4" t="s">
        <v>46</v>
      </c>
      <c r="C58" s="3">
        <v>3.57</v>
      </c>
      <c r="D58" s="6">
        <f t="shared" si="12"/>
        <v>3.57</v>
      </c>
      <c r="E58" s="6"/>
      <c r="F58" s="6"/>
      <c r="G58" s="6">
        <f>17.7%*D58</f>
        <v>0.63188999999999995</v>
      </c>
      <c r="H58" s="6">
        <f t="shared" si="11"/>
        <v>2.5275599999999998</v>
      </c>
    </row>
    <row r="59" spans="1:8" thickBot="1" x14ac:dyDescent="0.3">
      <c r="A59" s="15">
        <v>45</v>
      </c>
      <c r="B59" s="4" t="s">
        <v>36</v>
      </c>
      <c r="C59" s="2">
        <v>8.93</v>
      </c>
      <c r="D59" s="2">
        <f>100%*C59</f>
        <v>8.93</v>
      </c>
      <c r="E59" s="2">
        <f>0.8%*D59</f>
        <v>7.1440000000000003E-2</v>
      </c>
      <c r="F59" s="2"/>
      <c r="G59" s="2">
        <f>9.3%*D59</f>
        <v>0.83049000000000006</v>
      </c>
      <c r="H59" s="2">
        <f>4*(E59+G59)+9*F59</f>
        <v>3.6077200000000005</v>
      </c>
    </row>
    <row r="60" spans="1:8" thickBot="1" x14ac:dyDescent="0.3">
      <c r="A60" s="15">
        <v>46</v>
      </c>
      <c r="B60" s="14" t="s">
        <v>56</v>
      </c>
      <c r="C60" s="13">
        <v>42.86</v>
      </c>
      <c r="D60" s="13">
        <f t="shared" ref="D60" si="13">100%*C60</f>
        <v>42.86</v>
      </c>
      <c r="E60" s="13">
        <f>0.66%*D60</f>
        <v>0.28287600000000002</v>
      </c>
      <c r="F60" s="13"/>
      <c r="G60" s="13">
        <f>17.3%*D60</f>
        <v>7.4147800000000004</v>
      </c>
      <c r="H60" s="13">
        <f t="shared" ref="H60" si="14">4*(E60+G60)+9*F60</f>
        <v>30.790624000000001</v>
      </c>
    </row>
    <row r="61" spans="1:8" thickBot="1" x14ac:dyDescent="0.3">
      <c r="A61" s="15">
        <v>47</v>
      </c>
      <c r="B61" s="4" t="s">
        <v>57</v>
      </c>
      <c r="C61" s="13">
        <v>0.28999999999999998</v>
      </c>
      <c r="D61" s="13">
        <f t="shared" ref="D61" si="15">100%*C61</f>
        <v>0.28999999999999998</v>
      </c>
      <c r="E61" s="13"/>
      <c r="F61" s="13"/>
      <c r="G61" s="13"/>
      <c r="H61" s="13">
        <f t="shared" ref="H61" si="16">4*(E61+G61)+9*F61</f>
        <v>0</v>
      </c>
    </row>
    <row r="62" spans="1:8" thickBot="1" x14ac:dyDescent="0.3">
      <c r="A62" s="15">
        <v>48</v>
      </c>
      <c r="B62" s="14" t="s">
        <v>61</v>
      </c>
      <c r="C62" s="13">
        <v>8.8000000000000007</v>
      </c>
      <c r="D62" s="13">
        <f>C62*100%</f>
        <v>8.8000000000000007</v>
      </c>
      <c r="E62" s="13">
        <f>D62*7.9%</f>
        <v>0.69520000000000004</v>
      </c>
      <c r="F62" s="13">
        <f>D62*1%</f>
        <v>8.8000000000000009E-2</v>
      </c>
      <c r="G62" s="13">
        <f>D62*49.6%</f>
        <v>4.3648000000000007</v>
      </c>
      <c r="H62" s="13">
        <f>4*(E62+G62)+9*F62</f>
        <v>21.032000000000004</v>
      </c>
    </row>
    <row r="63" spans="1:8" ht="16.5" thickBot="1" x14ac:dyDescent="0.3">
      <c r="A63" s="21" t="s">
        <v>43</v>
      </c>
      <c r="B63" s="21"/>
      <c r="C63" s="8">
        <f t="shared" ref="C63:H63" si="17">SUM(C5:C62)</f>
        <v>2526.630000000001</v>
      </c>
      <c r="D63" s="8">
        <f>SUM(D5:D62)</f>
        <v>2304.2895000000003</v>
      </c>
      <c r="E63" s="8">
        <f t="shared" si="17"/>
        <v>166.74098439999992</v>
      </c>
      <c r="F63" s="8">
        <f t="shared" si="17"/>
        <v>122.44729470000001</v>
      </c>
      <c r="G63" s="8">
        <f t="shared" si="17"/>
        <v>680.70039934999988</v>
      </c>
      <c r="H63" s="8">
        <f t="shared" si="17"/>
        <v>4491.7911873000003</v>
      </c>
    </row>
    <row r="66" spans="3:3" x14ac:dyDescent="0.3">
      <c r="C66" s="9"/>
    </row>
  </sheetData>
  <mergeCells count="18">
    <mergeCell ref="A1:H1"/>
    <mergeCell ref="A48:H48"/>
    <mergeCell ref="A52:H52"/>
    <mergeCell ref="A63:B63"/>
    <mergeCell ref="A24:H24"/>
    <mergeCell ref="A26:H26"/>
    <mergeCell ref="A33:H33"/>
    <mergeCell ref="A2:H2"/>
    <mergeCell ref="A8:H8"/>
    <mergeCell ref="A11:H11"/>
    <mergeCell ref="A19:H19"/>
    <mergeCell ref="A37:H37"/>
    <mergeCell ref="A16:H16"/>
    <mergeCell ref="A3:A4"/>
    <mergeCell ref="B3:B4"/>
    <mergeCell ref="C3:D3"/>
    <mergeCell ref="E3:G3"/>
    <mergeCell ref="H3:H4"/>
  </mergeCells>
  <conditionalFormatting sqref="H64:H1048576">
    <cfRule type="duplicateValues" dxfId="2" priority="19"/>
  </conditionalFormatting>
  <conditionalFormatting sqref="B2:B1048576">
    <cfRule type="duplicateValues" dxfId="1" priority="1"/>
    <cfRule type="duplicateValues" dxfId="0" priority="20"/>
  </conditionalFormatting>
  <pageMargins left="0.37" right="0.21" top="0.28999999999999998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დანართი №5.2 </vt:lpstr>
      <vt:lpstr>'დანართი №5.2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2022-09-14T15:19:35Z</dcterms:modified>
</cp:coreProperties>
</file>