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xWindow="240" yWindow="105" windowWidth="14805" windowHeight="8010"/>
  </bookViews>
  <sheets>
    <sheet name="დანართი N5.1" sheetId="2" r:id="rId1"/>
  </sheets>
  <definedNames>
    <definedName name="_xlnm.Print_Area" localSheetId="0">'დანართი N5.1'!$A$1:$H$68</definedName>
  </definedNames>
  <calcPr calcId="162913"/>
</workbook>
</file>

<file path=xl/calcChain.xml><?xml version="1.0" encoding="utf-8"?>
<calcChain xmlns="http://schemas.openxmlformats.org/spreadsheetml/2006/main">
  <c r="D30" i="2" l="1"/>
  <c r="F30" i="2" s="1"/>
  <c r="D29" i="2"/>
  <c r="G29" i="2" s="1"/>
  <c r="D22" i="2"/>
  <c r="G22" i="2" s="1"/>
  <c r="D21" i="2"/>
  <c r="G21" i="2" s="1"/>
  <c r="D51" i="2"/>
  <c r="E51" i="2" s="1"/>
  <c r="D43" i="2"/>
  <c r="E43" i="2" s="1"/>
  <c r="D42" i="2"/>
  <c r="G42" i="2" s="1"/>
  <c r="D41" i="2"/>
  <c r="E41" i="2" s="1"/>
  <c r="D12" i="2"/>
  <c r="F12" i="2" s="1"/>
  <c r="D53" i="2"/>
  <c r="D50" i="2"/>
  <c r="E50" i="2" s="1"/>
  <c r="D49" i="2"/>
  <c r="E49" i="2" s="1"/>
  <c r="D48" i="2"/>
  <c r="E48" i="2" s="1"/>
  <c r="D67" i="2"/>
  <c r="E67" i="2" s="1"/>
  <c r="D65" i="2"/>
  <c r="G65" i="2" s="1"/>
  <c r="H66" i="2"/>
  <c r="D66" i="2"/>
  <c r="H52" i="2"/>
  <c r="D52" i="2"/>
  <c r="D40" i="2"/>
  <c r="E40" i="2" s="1"/>
  <c r="D36" i="2"/>
  <c r="F36" i="2" s="1"/>
  <c r="H36" i="2" s="1"/>
  <c r="D35" i="2"/>
  <c r="F35" i="2" s="1"/>
  <c r="D31" i="2"/>
  <c r="E31" i="2" s="1"/>
  <c r="D27" i="2"/>
  <c r="E27" i="2" s="1"/>
  <c r="D7" i="2"/>
  <c r="E7" i="2" s="1"/>
  <c r="D64" i="2"/>
  <c r="G64" i="2" s="1"/>
  <c r="D5" i="2"/>
  <c r="E5" i="2" s="1"/>
  <c r="D63" i="2"/>
  <c r="G63" i="2" s="1"/>
  <c r="H63" i="2" s="1"/>
  <c r="H62" i="2"/>
  <c r="D62" i="2"/>
  <c r="H61" i="2"/>
  <c r="D61" i="2"/>
  <c r="H60" i="2"/>
  <c r="D60" i="2"/>
  <c r="D59" i="2"/>
  <c r="G59" i="2" s="1"/>
  <c r="H59" i="2" s="1"/>
  <c r="D58" i="2"/>
  <c r="E58" i="2" s="1"/>
  <c r="D56" i="2"/>
  <c r="G56" i="2" s="1"/>
  <c r="H56" i="2" s="1"/>
  <c r="D55" i="2"/>
  <c r="G55" i="2" s="1"/>
  <c r="H55" i="2" s="1"/>
  <c r="H53" i="2"/>
  <c r="H47" i="2"/>
  <c r="D47" i="2"/>
  <c r="D46" i="2"/>
  <c r="G46" i="2" s="1"/>
  <c r="D45" i="2"/>
  <c r="E45" i="2" s="1"/>
  <c r="D44" i="2"/>
  <c r="E44" i="2" s="1"/>
  <c r="D39" i="2"/>
  <c r="E39" i="2" s="1"/>
  <c r="D38" i="2"/>
  <c r="E38" i="2" s="1"/>
  <c r="D34" i="2"/>
  <c r="F34" i="2" s="1"/>
  <c r="H34" i="2" s="1"/>
  <c r="D32" i="2"/>
  <c r="E32" i="2" s="1"/>
  <c r="D28" i="2"/>
  <c r="E28" i="2" s="1"/>
  <c r="G26" i="2"/>
  <c r="D26" i="2"/>
  <c r="E26" i="2" s="1"/>
  <c r="D24" i="2"/>
  <c r="E24" i="2" s="1"/>
  <c r="D20" i="2"/>
  <c r="E20" i="2" s="1"/>
  <c r="D19" i="2"/>
  <c r="E19" i="2" s="1"/>
  <c r="D17" i="2"/>
  <c r="F17" i="2" s="1"/>
  <c r="D15" i="2"/>
  <c r="F15" i="2" s="1"/>
  <c r="D14" i="2"/>
  <c r="E14" i="2" s="1"/>
  <c r="D13" i="2"/>
  <c r="G13" i="2" s="1"/>
  <c r="D10" i="2"/>
  <c r="E10" i="2" s="1"/>
  <c r="D9" i="2"/>
  <c r="F9" i="2" s="1"/>
  <c r="D6" i="2"/>
  <c r="E6" i="2" s="1"/>
  <c r="G43" i="2" l="1"/>
  <c r="H43" i="2" s="1"/>
  <c r="E30" i="2"/>
  <c r="G30" i="2"/>
  <c r="E29" i="2"/>
  <c r="F29" i="2"/>
  <c r="E21" i="2"/>
  <c r="F22" i="2"/>
  <c r="E22" i="2"/>
  <c r="F21" i="2"/>
  <c r="G12" i="2"/>
  <c r="E12" i="2"/>
  <c r="G51" i="2"/>
  <c r="H51" i="2" s="1"/>
  <c r="C68" i="2"/>
  <c r="G50" i="2"/>
  <c r="H50" i="2" s="1"/>
  <c r="E42" i="2"/>
  <c r="H42" i="2" s="1"/>
  <c r="G41" i="2"/>
  <c r="F41" i="2"/>
  <c r="G48" i="2"/>
  <c r="H48" i="2" s="1"/>
  <c r="G49" i="2"/>
  <c r="H49" i="2" s="1"/>
  <c r="F67" i="2"/>
  <c r="G67" i="2"/>
  <c r="E35" i="2"/>
  <c r="G40" i="2"/>
  <c r="H40" i="2" s="1"/>
  <c r="D68" i="2"/>
  <c r="E65" i="2"/>
  <c r="H65" i="2" s="1"/>
  <c r="G31" i="2"/>
  <c r="G35" i="2"/>
  <c r="F31" i="2"/>
  <c r="G27" i="2"/>
  <c r="F27" i="2"/>
  <c r="F7" i="2"/>
  <c r="G7" i="2"/>
  <c r="E64" i="2"/>
  <c r="H64" i="2" s="1"/>
  <c r="F20" i="2"/>
  <c r="H20" i="2" s="1"/>
  <c r="G9" i="2"/>
  <c r="E13" i="2"/>
  <c r="G45" i="2"/>
  <c r="H45" i="2" s="1"/>
  <c r="E15" i="2"/>
  <c r="F19" i="2"/>
  <c r="H19" i="2" s="1"/>
  <c r="F13" i="2"/>
  <c r="F32" i="2"/>
  <c r="H32" i="2" s="1"/>
  <c r="G5" i="2"/>
  <c r="F5" i="2"/>
  <c r="E9" i="2"/>
  <c r="E17" i="2"/>
  <c r="G39" i="2"/>
  <c r="H39" i="2" s="1"/>
  <c r="F58" i="2"/>
  <c r="H58" i="2" s="1"/>
  <c r="G44" i="2"/>
  <c r="H44" i="2" s="1"/>
  <c r="F24" i="2"/>
  <c r="H24" i="2" s="1"/>
  <c r="G15" i="2"/>
  <c r="E46" i="2"/>
  <c r="H46" i="2" s="1"/>
  <c r="F38" i="2"/>
  <c r="G38" i="2"/>
  <c r="G28" i="2"/>
  <c r="F28" i="2"/>
  <c r="F26" i="2"/>
  <c r="H26" i="2" s="1"/>
  <c r="G17" i="2"/>
  <c r="G14" i="2"/>
  <c r="F14" i="2"/>
  <c r="G10" i="2"/>
  <c r="F10" i="2"/>
  <c r="G6" i="2"/>
  <c r="F6" i="2"/>
  <c r="H12" i="2" l="1"/>
  <c r="H22" i="2"/>
  <c r="H30" i="2"/>
  <c r="H29" i="2"/>
  <c r="H21" i="2"/>
  <c r="H41" i="2"/>
  <c r="H67" i="2"/>
  <c r="E68" i="2"/>
  <c r="H35" i="2"/>
  <c r="H31" i="2"/>
  <c r="H7" i="2"/>
  <c r="F68" i="2"/>
  <c r="G68" i="2"/>
  <c r="H27" i="2"/>
  <c r="H9" i="2"/>
  <c r="H13" i="2"/>
  <c r="H38" i="2"/>
  <c r="H6" i="2"/>
  <c r="H15" i="2"/>
  <c r="H5" i="2"/>
  <c r="H17" i="2"/>
  <c r="H10" i="2"/>
  <c r="H14" i="2"/>
  <c r="H28" i="2"/>
  <c r="H68" i="2" l="1"/>
</calcChain>
</file>

<file path=xl/sharedStrings.xml><?xml version="1.0" encoding="utf-8"?>
<sst xmlns="http://schemas.openxmlformats.org/spreadsheetml/2006/main" count="75" uniqueCount="75">
  <si>
    <t>კვების პროდუქტი</t>
  </si>
  <si>
    <t>რაოდენობა, გ</t>
  </si>
  <si>
    <t>ქიმიური შემადგენლობა, გ</t>
  </si>
  <si>
    <t>ენერგეტიკული ღირებულება, კკალ</t>
  </si>
  <si>
    <t>ბრუტო</t>
  </si>
  <si>
    <t>ნეტო</t>
  </si>
  <si>
    <t>ცილები</t>
  </si>
  <si>
    <t>ცხიმები</t>
  </si>
  <si>
    <t>ნახშირწყლები</t>
  </si>
  <si>
    <t>პარკოსნები</t>
  </si>
  <si>
    <t>ლობიო</t>
  </si>
  <si>
    <t>ბარდა</t>
  </si>
  <si>
    <t>ბურღულეული</t>
  </si>
  <si>
    <t>წიწიბურა</t>
  </si>
  <si>
    <t>ბრინჯი</t>
  </si>
  <si>
    <t>მაკარონის ნაწარმი</t>
  </si>
  <si>
    <t>მაკარონი</t>
  </si>
  <si>
    <t>ხორცი და ხორცის პროდუქტები</t>
  </si>
  <si>
    <t>ქათმის ხორცი</t>
  </si>
  <si>
    <t>თევზეული</t>
  </si>
  <si>
    <t>თევზის ფილე</t>
  </si>
  <si>
    <t>რძე და რძის პროდუქტები</t>
  </si>
  <si>
    <t>ცხიმი</t>
  </si>
  <si>
    <t>ბოსტნეული</t>
  </si>
  <si>
    <t>კარტოფილი</t>
  </si>
  <si>
    <t>კომბოსტო</t>
  </si>
  <si>
    <t>ჭარხალი</t>
  </si>
  <si>
    <t>სტაფილო</t>
  </si>
  <si>
    <t>ხახვი</t>
  </si>
  <si>
    <t>ნიორი</t>
  </si>
  <si>
    <t>მწვანილი</t>
  </si>
  <si>
    <t>ხილი</t>
  </si>
  <si>
    <t>ხილი (სხვადასხვა)</t>
  </si>
  <si>
    <t>ხილფაფა</t>
  </si>
  <si>
    <t>მჟავე კიტრი</t>
  </si>
  <si>
    <t>სხვა</t>
  </si>
  <si>
    <t>კვერცხი (ცალობით)</t>
  </si>
  <si>
    <t>შაქარი</t>
  </si>
  <si>
    <t>მარილი</t>
  </si>
  <si>
    <t>ჩაი</t>
  </si>
  <si>
    <t>სანელებლები</t>
  </si>
  <si>
    <t>სულ</t>
  </si>
  <si>
    <t>მაწონი</t>
  </si>
  <si>
    <t>ყველი</t>
  </si>
  <si>
    <t>ტომატ-პასტა</t>
  </si>
  <si>
    <t>შვრიის ფანტელი ე.წ. "ჰერკულესი"</t>
  </si>
  <si>
    <t>მცენარეული ცხიმები (ზეთები)</t>
  </si>
  <si>
    <t>ხორბლის პური</t>
  </si>
  <si>
    <t>საფანელი</t>
  </si>
  <si>
    <t>ცხოველური ცხიმები (კარაქი 82%)</t>
  </si>
  <si>
    <t>ცხოველური ცხიმები (კარაქი ან სპრედი)</t>
  </si>
  <si>
    <t>კომბოსტო ყვავილოვანი</t>
  </si>
  <si>
    <t>ხილის წვენი</t>
  </si>
  <si>
    <t>საფუარი</t>
  </si>
  <si>
    <t>რძე ნატურალური, პასტერიზებული (3,2%)</t>
  </si>
  <si>
    <t>არაჟანი 10%</t>
  </si>
  <si>
    <t>სალათის ფურცლები</t>
  </si>
  <si>
    <t>პური</t>
  </si>
  <si>
    <t>სავალდებულო სამხედრო მოსამსახურეთა დღიურ რაციონში შემავალი პროდუქტების ჩამონათვალი და ენერგეტიკული ღირებულება (გაზაფხული-ზაფხული)</t>
  </si>
  <si>
    <t>ქერი</t>
  </si>
  <si>
    <t>ბულგარული წიწაკა</t>
  </si>
  <si>
    <t>პომიდორი</t>
  </si>
  <si>
    <t>კიტრი</t>
  </si>
  <si>
    <t>მჟაუნა</t>
  </si>
  <si>
    <t>ისპანახი</t>
  </si>
  <si>
    <t>მწვანე ხახვი</t>
  </si>
  <si>
    <t>მწვანე ლობიო</t>
  </si>
  <si>
    <t>ქათმის ფილე</t>
  </si>
  <si>
    <t>სოსისი</t>
  </si>
  <si>
    <t>ხაჭო დაბალცხიმიანი (6%)</t>
  </si>
  <si>
    <t>ხორბლის ფქვილი I ხარისხის</t>
  </si>
  <si>
    <t>საქონლის ხორცი (I კატეგორიის)</t>
  </si>
  <si>
    <t>შესქელებული რძე</t>
  </si>
  <si>
    <t>დანართი №5.1</t>
  </si>
  <si>
    <t>ხაჭო 20 % ცხიმიანობის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</si>
</sst>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0.0000"/>
  </numFmts>
  <fonts count="10" x14ac:knownFonts="1">
    <font>
      <sz val="11"/>
      <color theme="1"/>
      <name val="Calibri"/>
      <family val="2"/>
      <scheme val="minor"/>
    </font>
    <font>
      <b/>
      <sz val="11"/>
      <color theme="1"/>
      <name val="AcadMtavr"/>
    </font>
    <font>
      <b/>
      <sz val="11"/>
      <color theme="1"/>
      <name val="AcadNusx"/>
    </font>
    <font>
      <b/>
      <sz val="11"/>
      <color theme="1"/>
      <name val="Calibri"/>
      <family val="2"/>
      <scheme val="minor"/>
    </font>
    <font>
      <sz val="10"/>
      <name val="Arial"/>
      <family val="2"/>
    </font>
    <font>
      <sz val="10"/>
      <name val="Sylfaen"/>
      <family val="1"/>
    </font>
    <font>
      <b/>
      <sz val="10"/>
      <name val="Sylfaen"/>
      <family val="1"/>
    </font>
    <font>
      <sz val="10"/>
      <color theme="1"/>
      <name val="Sylfaen"/>
      <family val="1"/>
    </font>
    <font>
      <b/>
      <sz val="10"/>
      <color theme="1"/>
      <name val="Sylfaen"/>
      <family val="1"/>
    </font>
    <font>
      <b/>
      <sz val="11"/>
      <color theme="1"/>
      <name val="Sylfaen"/>
      <family val="1"/>
    </font>
  </fonts>
  <fills count="2">
    <fill>
      <patternFill patternType="none"/>
    </fill>
    <fill>
      <patternFill patternType="gray125"/>
    </fill>
  </fills>
  <borders count="7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</borders>
  <cellStyleXfs count="2">
    <xf numFmtId="0" fontId="0" fillId="0" borderId="0"/>
    <xf numFmtId="0" fontId="4" fillId="0" borderId="0"/>
  </cellStyleXfs>
  <cellXfs count="33">
    <xf numFmtId="0" fontId="0" fillId="0" borderId="0" xfId="0"/>
    <xf numFmtId="0" fontId="0" fillId="0" borderId="0" xfId="0" applyFill="1"/>
    <xf numFmtId="2" fontId="5" fillId="0" borderId="1" xfId="1" applyNumberFormat="1" applyFont="1" applyFill="1" applyBorder="1" applyAlignment="1">
      <alignment horizontal="center" vertical="center"/>
    </xf>
    <xf numFmtId="0" fontId="7" fillId="0" borderId="1" xfId="0" applyFont="1" applyFill="1" applyBorder="1" applyAlignment="1">
      <alignment horizontal="center" vertical="center" wrapText="1"/>
    </xf>
    <xf numFmtId="0" fontId="7" fillId="0" borderId="1" xfId="0" applyFont="1" applyFill="1" applyBorder="1" applyAlignment="1">
      <alignment horizontal="left" vertical="center" wrapText="1"/>
    </xf>
    <xf numFmtId="0" fontId="8" fillId="0" borderId="1" xfId="0" applyFont="1" applyFill="1" applyBorder="1" applyAlignment="1">
      <alignment horizontal="center" vertical="center" wrapText="1"/>
    </xf>
    <xf numFmtId="2" fontId="7" fillId="0" borderId="1" xfId="0" applyNumberFormat="1" applyFont="1" applyFill="1" applyBorder="1" applyAlignment="1">
      <alignment horizontal="center" vertical="center" wrapText="1"/>
    </xf>
    <xf numFmtId="0" fontId="7" fillId="0" borderId="0" xfId="0" applyFont="1" applyFill="1" applyAlignment="1">
      <alignment horizontal="center" vertical="center"/>
    </xf>
    <xf numFmtId="2" fontId="8" fillId="0" borderId="1" xfId="0" applyNumberFormat="1" applyFont="1" applyFill="1" applyBorder="1" applyAlignment="1">
      <alignment horizontal="center" vertical="center" wrapText="1"/>
    </xf>
    <xf numFmtId="2" fontId="7" fillId="0" borderId="0" xfId="0" applyNumberFormat="1" applyFont="1" applyFill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6" fillId="0" borderId="1" xfId="1" applyFont="1" applyFill="1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center" wrapText="1"/>
    </xf>
    <xf numFmtId="2" fontId="5" fillId="0" borderId="1" xfId="0" applyNumberFormat="1" applyFont="1" applyFill="1" applyBorder="1" applyAlignment="1">
      <alignment horizontal="center" vertical="center"/>
    </xf>
    <xf numFmtId="0" fontId="5" fillId="0" borderId="1" xfId="0" applyFont="1" applyFill="1" applyBorder="1" applyAlignment="1">
      <alignment vertical="center" wrapText="1"/>
    </xf>
    <xf numFmtId="2" fontId="5" fillId="0" borderId="2" xfId="0" applyNumberFormat="1" applyFont="1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center" wrapText="1"/>
    </xf>
    <xf numFmtId="164" fontId="7" fillId="0" borderId="0" xfId="0" applyNumberFormat="1" applyFont="1" applyFill="1" applyAlignment="1">
      <alignment horizontal="center" vertical="center"/>
    </xf>
    <xf numFmtId="0" fontId="7" fillId="0" borderId="1" xfId="0" applyFont="1" applyFill="1" applyBorder="1" applyAlignment="1">
      <alignment vertical="center" wrapText="1"/>
    </xf>
    <xf numFmtId="2" fontId="7" fillId="0" borderId="1" xfId="0" applyNumberFormat="1" applyFont="1" applyFill="1" applyBorder="1" applyAlignment="1">
      <alignment vertical="center" wrapText="1"/>
    </xf>
    <xf numFmtId="0" fontId="3" fillId="0" borderId="1" xfId="0" applyFont="1" applyFill="1" applyBorder="1" applyAlignment="1">
      <alignment horizontal="center" vertical="center" wrapText="1"/>
    </xf>
    <xf numFmtId="0" fontId="5" fillId="0" borderId="1" xfId="1" applyFont="1" applyFill="1" applyBorder="1" applyAlignment="1">
      <alignment vertical="center" wrapText="1"/>
    </xf>
    <xf numFmtId="0" fontId="7" fillId="0" borderId="0" xfId="0" applyFont="1" applyAlignment="1">
      <alignment wrapText="1"/>
    </xf>
    <xf numFmtId="0" fontId="2" fillId="0" borderId="1" xfId="0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 wrapText="1"/>
    </xf>
    <xf numFmtId="0" fontId="6" fillId="0" borderId="1" xfId="1" applyFont="1" applyFill="1" applyBorder="1" applyAlignment="1">
      <alignment vertical="center" wrapText="1"/>
    </xf>
    <xf numFmtId="0" fontId="6" fillId="0" borderId="1" xfId="1" applyFont="1" applyFill="1" applyBorder="1" applyAlignment="1">
      <alignment horizontal="center" vertical="center"/>
    </xf>
    <xf numFmtId="2" fontId="6" fillId="0" borderId="1" xfId="1" applyNumberFormat="1" applyFont="1" applyFill="1" applyBorder="1" applyAlignment="1">
      <alignment horizontal="center" vertical="center" wrapText="1"/>
    </xf>
    <xf numFmtId="0" fontId="1" fillId="0" borderId="3" xfId="0" applyFont="1" applyFill="1" applyBorder="1" applyAlignment="1">
      <alignment horizontal="center" vertical="center" wrapText="1"/>
    </xf>
    <xf numFmtId="0" fontId="1" fillId="0" borderId="4" xfId="0" applyFont="1" applyFill="1" applyBorder="1" applyAlignment="1">
      <alignment horizontal="center" vertical="center" wrapText="1"/>
    </xf>
    <xf numFmtId="0" fontId="1" fillId="0" borderId="5" xfId="0" applyFont="1" applyFill="1" applyBorder="1" applyAlignment="1">
      <alignment horizontal="center" vertical="center" wrapText="1"/>
    </xf>
    <xf numFmtId="0" fontId="7" fillId="0" borderId="6" xfId="0" applyFont="1" applyBorder="1" applyAlignment="1">
      <alignment horizontal="right" wrapText="1"/>
    </xf>
    <xf numFmtId="0" fontId="9" fillId="0" borderId="6" xfId="0" applyFont="1" applyBorder="1" applyAlignment="1">
      <alignment horizontal="right" wrapText="1"/>
    </xf>
  </cellXfs>
  <cellStyles count="2">
    <cellStyle name="Normal" xfId="0" builtinId="0"/>
    <cellStyle name="Normal 2" xfId="1"/>
  </cellStyles>
  <dxfs count="1"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71"/>
  <sheetViews>
    <sheetView tabSelected="1" view="pageBreakPreview" zoomScale="106" zoomScaleNormal="100" zoomScaleSheetLayoutView="106" workbookViewId="0">
      <selection activeCell="H6" sqref="H6"/>
    </sheetView>
  </sheetViews>
  <sheetFormatPr defaultRowHeight="15.75" x14ac:dyDescent="0.3"/>
  <cols>
    <col min="1" max="1" width="3.140625" style="10" customWidth="1"/>
    <col min="2" max="2" width="24.85546875" style="22" customWidth="1"/>
    <col min="3" max="3" width="8.28515625" style="7" customWidth="1"/>
    <col min="4" max="4" width="8.42578125" style="7" customWidth="1"/>
    <col min="5" max="5" width="10.42578125" style="7" customWidth="1"/>
    <col min="6" max="6" width="10" style="7" customWidth="1"/>
    <col min="7" max="7" width="15" style="7" customWidth="1"/>
    <col min="8" max="8" width="17.7109375" style="9" customWidth="1"/>
    <col min="9" max="10" width="9.140625" style="1"/>
  </cols>
  <sheetData>
    <row r="1" spans="1:8" ht="16.5" thickBot="1" x14ac:dyDescent="0.35">
      <c r="B1" s="32" t="s">
        <v>73</v>
      </c>
      <c r="C1" s="31"/>
      <c r="D1" s="31"/>
      <c r="E1" s="31"/>
      <c r="F1" s="31"/>
      <c r="G1" s="31"/>
      <c r="H1" s="31"/>
    </row>
    <row r="2" spans="1:8" ht="69.75" customHeight="1" thickBot="1" x14ac:dyDescent="0.3">
      <c r="A2" s="28" t="s">
        <v>58</v>
      </c>
      <c r="B2" s="29"/>
      <c r="C2" s="29"/>
      <c r="D2" s="29"/>
      <c r="E2" s="29"/>
      <c r="F2" s="29"/>
      <c r="G2" s="29"/>
      <c r="H2" s="30"/>
    </row>
    <row r="3" spans="1:8" ht="24" customHeight="1" thickBot="1" x14ac:dyDescent="0.3">
      <c r="A3" s="24"/>
      <c r="B3" s="25" t="s">
        <v>0</v>
      </c>
      <c r="C3" s="26" t="s">
        <v>1</v>
      </c>
      <c r="D3" s="26"/>
      <c r="E3" s="26" t="s">
        <v>2</v>
      </c>
      <c r="F3" s="26"/>
      <c r="G3" s="26"/>
      <c r="H3" s="27" t="s">
        <v>3</v>
      </c>
    </row>
    <row r="4" spans="1:8" ht="24.75" customHeight="1" thickBot="1" x14ac:dyDescent="0.3">
      <c r="A4" s="24"/>
      <c r="B4" s="25"/>
      <c r="C4" s="11" t="s">
        <v>4</v>
      </c>
      <c r="D4" s="11" t="s">
        <v>5</v>
      </c>
      <c r="E4" s="11" t="s">
        <v>6</v>
      </c>
      <c r="F4" s="11" t="s">
        <v>7</v>
      </c>
      <c r="G4" s="11" t="s">
        <v>8</v>
      </c>
      <c r="H4" s="27"/>
    </row>
    <row r="5" spans="1:8" thickBot="1" x14ac:dyDescent="0.3">
      <c r="A5" s="12">
        <v>1</v>
      </c>
      <c r="B5" s="18" t="s">
        <v>47</v>
      </c>
      <c r="C5" s="5">
        <v>900</v>
      </c>
      <c r="D5" s="5">
        <f>C5*100%</f>
        <v>900</v>
      </c>
      <c r="E5" s="5">
        <f>D5*7.9%</f>
        <v>71.099999999999994</v>
      </c>
      <c r="F5" s="5">
        <f>D5*1%</f>
        <v>9</v>
      </c>
      <c r="G5" s="5">
        <f>D5*49.6%</f>
        <v>446.4</v>
      </c>
      <c r="H5" s="8">
        <f>4*(E5+G5)+9*F5</f>
        <v>2151</v>
      </c>
    </row>
    <row r="6" spans="1:8" ht="29.25" customHeight="1" thickBot="1" x14ac:dyDescent="0.3">
      <c r="A6" s="12">
        <v>2</v>
      </c>
      <c r="B6" s="18" t="s">
        <v>70</v>
      </c>
      <c r="C6" s="6">
        <v>29.29</v>
      </c>
      <c r="D6" s="6">
        <f>C6*100%</f>
        <v>29.29</v>
      </c>
      <c r="E6" s="6">
        <f>D6*10%</f>
        <v>2.9290000000000003</v>
      </c>
      <c r="F6" s="6">
        <f>D6*1.3%</f>
        <v>0.38077</v>
      </c>
      <c r="G6" s="6">
        <f>D6*69%</f>
        <v>20.210099999999997</v>
      </c>
      <c r="H6" s="6">
        <f t="shared" ref="H6:H7" si="0">4*(E6+G6)+9*F6</f>
        <v>95.983329999999995</v>
      </c>
    </row>
    <row r="7" spans="1:8" thickBot="1" x14ac:dyDescent="0.3">
      <c r="A7" s="16">
        <v>3</v>
      </c>
      <c r="B7" s="18" t="s">
        <v>48</v>
      </c>
      <c r="C7" s="6">
        <v>2.86</v>
      </c>
      <c r="D7" s="6">
        <f t="shared" ref="D7" si="1">C7*100%</f>
        <v>2.86</v>
      </c>
      <c r="E7" s="6">
        <f>D7*8%</f>
        <v>0.2288</v>
      </c>
      <c r="F7" s="6">
        <f>D7*1%</f>
        <v>2.86E-2</v>
      </c>
      <c r="G7" s="6">
        <f>D7*50%</f>
        <v>1.43</v>
      </c>
      <c r="H7" s="6">
        <f t="shared" si="0"/>
        <v>6.8925999999999989</v>
      </c>
    </row>
    <row r="8" spans="1:8" ht="16.5" customHeight="1" thickBot="1" x14ac:dyDescent="0.3">
      <c r="A8" s="23" t="s">
        <v>9</v>
      </c>
      <c r="B8" s="23"/>
      <c r="C8" s="23"/>
      <c r="D8" s="23"/>
      <c r="E8" s="23"/>
      <c r="F8" s="23"/>
      <c r="G8" s="23"/>
      <c r="H8" s="23"/>
    </row>
    <row r="9" spans="1:8" thickBot="1" x14ac:dyDescent="0.3">
      <c r="A9" s="12">
        <v>4</v>
      </c>
      <c r="B9" s="18" t="s">
        <v>10</v>
      </c>
      <c r="C9" s="3">
        <v>2.86</v>
      </c>
      <c r="D9" s="6">
        <f t="shared" ref="D9:D10" si="2">C9*100%</f>
        <v>2.86</v>
      </c>
      <c r="E9" s="6">
        <f>D9*20.8%</f>
        <v>0.59488000000000008</v>
      </c>
      <c r="F9" s="6">
        <f>D9*2%</f>
        <v>5.7200000000000001E-2</v>
      </c>
      <c r="G9" s="6">
        <f>D9*46.6%</f>
        <v>1.3327599999999999</v>
      </c>
      <c r="H9" s="6">
        <f t="shared" ref="H9:H10" si="3">4*(E9+G9)+9*F9</f>
        <v>8.2253600000000002</v>
      </c>
    </row>
    <row r="10" spans="1:8" thickBot="1" x14ac:dyDescent="0.3">
      <c r="A10" s="12">
        <v>5</v>
      </c>
      <c r="B10" s="18" t="s">
        <v>11</v>
      </c>
      <c r="C10" s="3">
        <v>5</v>
      </c>
      <c r="D10" s="6">
        <f t="shared" si="2"/>
        <v>5</v>
      </c>
      <c r="E10" s="6">
        <f>D10*20%</f>
        <v>1</v>
      </c>
      <c r="F10" s="6">
        <f>D10*2%</f>
        <v>0.1</v>
      </c>
      <c r="G10" s="6">
        <f>D10*48%</f>
        <v>2.4</v>
      </c>
      <c r="H10" s="6">
        <f t="shared" si="3"/>
        <v>14.5</v>
      </c>
    </row>
    <row r="11" spans="1:8" ht="16.5" customHeight="1" thickBot="1" x14ac:dyDescent="0.3">
      <c r="A11" s="23" t="s">
        <v>12</v>
      </c>
      <c r="B11" s="23"/>
      <c r="C11" s="23"/>
      <c r="D11" s="23"/>
      <c r="E11" s="23"/>
      <c r="F11" s="23"/>
      <c r="G11" s="23"/>
      <c r="H11" s="23"/>
    </row>
    <row r="12" spans="1:8" thickBot="1" x14ac:dyDescent="0.3">
      <c r="A12" s="12">
        <v>6</v>
      </c>
      <c r="B12" s="18" t="s">
        <v>59</v>
      </c>
      <c r="C12" s="15">
        <v>1.43</v>
      </c>
      <c r="D12" s="15">
        <f t="shared" ref="D12" si="4">C12*100%</f>
        <v>1.43</v>
      </c>
      <c r="E12" s="15">
        <f>10.78%*D12</f>
        <v>0.15415399999999999</v>
      </c>
      <c r="F12" s="15">
        <f>3.14%*D12</f>
        <v>4.4902000000000004E-2</v>
      </c>
      <c r="G12" s="15">
        <f>55.9%*D12</f>
        <v>0.79936999999999991</v>
      </c>
      <c r="H12" s="15">
        <f t="shared" ref="H12" si="5">4*(E12+G12)+9*F12</f>
        <v>4.2182139999999997</v>
      </c>
    </row>
    <row r="13" spans="1:8" thickBot="1" x14ac:dyDescent="0.3">
      <c r="A13" s="12">
        <v>7</v>
      </c>
      <c r="B13" s="18" t="s">
        <v>13</v>
      </c>
      <c r="C13" s="6">
        <v>30.71</v>
      </c>
      <c r="D13" s="6">
        <f t="shared" ref="D13:D15" si="6">C13*100%</f>
        <v>30.71</v>
      </c>
      <c r="E13" s="6">
        <f>10.78%*D13</f>
        <v>3.3105379999999998</v>
      </c>
      <c r="F13" s="6">
        <f>3.14%*D13</f>
        <v>0.96429400000000021</v>
      </c>
      <c r="G13" s="6">
        <f>55.9%*D13</f>
        <v>17.166889999999999</v>
      </c>
      <c r="H13" s="6">
        <f t="shared" ref="H13:H15" si="7">4*(E13+G13)+9*F13</f>
        <v>90.588357999999999</v>
      </c>
    </row>
    <row r="14" spans="1:8" thickBot="1" x14ac:dyDescent="0.3">
      <c r="A14" s="12">
        <v>8</v>
      </c>
      <c r="B14" s="18" t="s">
        <v>14</v>
      </c>
      <c r="C14" s="6">
        <v>27.14</v>
      </c>
      <c r="D14" s="6">
        <f t="shared" si="6"/>
        <v>27.14</v>
      </c>
      <c r="E14" s="6">
        <f>7.4%*D14</f>
        <v>2.0083600000000001</v>
      </c>
      <c r="F14" s="6">
        <f>3.14%*D14</f>
        <v>0.85219600000000018</v>
      </c>
      <c r="G14" s="6">
        <f>62.3%*D14</f>
        <v>16.90822</v>
      </c>
      <c r="H14" s="6">
        <f t="shared" si="7"/>
        <v>83.336084</v>
      </c>
    </row>
    <row r="15" spans="1:8" ht="30.75" thickBot="1" x14ac:dyDescent="0.3">
      <c r="A15" s="12">
        <v>9</v>
      </c>
      <c r="B15" s="18" t="s">
        <v>45</v>
      </c>
      <c r="C15" s="6">
        <v>10</v>
      </c>
      <c r="D15" s="6">
        <f t="shared" si="6"/>
        <v>10</v>
      </c>
      <c r="E15" s="6">
        <f>12%*D15</f>
        <v>1.2</v>
      </c>
      <c r="F15" s="6">
        <f>6.2%*D15</f>
        <v>0.62</v>
      </c>
      <c r="G15" s="6">
        <f>62%*D15</f>
        <v>6.2</v>
      </c>
      <c r="H15" s="6">
        <f t="shared" si="7"/>
        <v>35.18</v>
      </c>
    </row>
    <row r="16" spans="1:8" ht="16.5" customHeight="1" thickBot="1" x14ac:dyDescent="0.3">
      <c r="A16" s="23" t="s">
        <v>15</v>
      </c>
      <c r="B16" s="23"/>
      <c r="C16" s="23"/>
      <c r="D16" s="23"/>
      <c r="E16" s="23"/>
      <c r="F16" s="23"/>
      <c r="G16" s="23"/>
      <c r="H16" s="23"/>
    </row>
    <row r="17" spans="1:8" thickBot="1" x14ac:dyDescent="0.3">
      <c r="A17" s="12">
        <v>10</v>
      </c>
      <c r="B17" s="18" t="s">
        <v>16</v>
      </c>
      <c r="C17" s="3">
        <v>5</v>
      </c>
      <c r="D17" s="6">
        <f t="shared" ref="D17" si="8">C17*100%</f>
        <v>5</v>
      </c>
      <c r="E17" s="6">
        <f>9.15%*D17</f>
        <v>0.45750000000000002</v>
      </c>
      <c r="F17" s="6">
        <f>0.8%*D17</f>
        <v>0.04</v>
      </c>
      <c r="G17" s="6">
        <f>60%*D17</f>
        <v>3</v>
      </c>
      <c r="H17" s="6">
        <f>4*(E17+G17)+9*F17</f>
        <v>14.19</v>
      </c>
    </row>
    <row r="18" spans="1:8" ht="16.5" thickBot="1" x14ac:dyDescent="0.3">
      <c r="A18" s="23" t="s">
        <v>17</v>
      </c>
      <c r="B18" s="23"/>
      <c r="C18" s="23"/>
      <c r="D18" s="23"/>
      <c r="E18" s="23"/>
      <c r="F18" s="23"/>
      <c r="G18" s="23"/>
      <c r="H18" s="23"/>
    </row>
    <row r="19" spans="1:8" ht="36" customHeight="1" thickBot="1" x14ac:dyDescent="0.3">
      <c r="A19" s="12">
        <v>11</v>
      </c>
      <c r="B19" s="18" t="s">
        <v>71</v>
      </c>
      <c r="C19" s="6">
        <v>213.93</v>
      </c>
      <c r="D19" s="6">
        <f>C19*75%</f>
        <v>160.44749999999999</v>
      </c>
      <c r="E19" s="6">
        <f>18.6%*D19</f>
        <v>29.843235000000004</v>
      </c>
      <c r="F19" s="6">
        <f>17.3%*D19</f>
        <v>27.757417500000003</v>
      </c>
      <c r="G19" s="6"/>
      <c r="H19" s="6">
        <f>4*(E19+G19)+9*F19</f>
        <v>369.18969750000002</v>
      </c>
    </row>
    <row r="20" spans="1:8" thickBot="1" x14ac:dyDescent="0.3">
      <c r="A20" s="4">
        <v>12</v>
      </c>
      <c r="B20" s="19" t="s">
        <v>18</v>
      </c>
      <c r="C20" s="6">
        <v>42.86</v>
      </c>
      <c r="D20" s="6">
        <f>C20*72%</f>
        <v>30.859199999999998</v>
      </c>
      <c r="E20" s="6">
        <f>18.5%*D20</f>
        <v>5.7089519999999991</v>
      </c>
      <c r="F20" s="6">
        <f>15.9%*D20</f>
        <v>4.9066127999999996</v>
      </c>
      <c r="G20" s="6"/>
      <c r="H20" s="6">
        <f>4*(E20+G20)+9*F20</f>
        <v>66.995323199999987</v>
      </c>
    </row>
    <row r="21" spans="1:8" thickBot="1" x14ac:dyDescent="0.3">
      <c r="A21" s="4">
        <v>13</v>
      </c>
      <c r="B21" s="19" t="s">
        <v>67</v>
      </c>
      <c r="C21" s="6">
        <v>40.71</v>
      </c>
      <c r="D21" s="6">
        <f>C21*92%</f>
        <v>37.453200000000002</v>
      </c>
      <c r="E21" s="6">
        <f>23%*D21</f>
        <v>8.6142360000000018</v>
      </c>
      <c r="F21" s="6">
        <f>1.9%*D21</f>
        <v>0.71161079999999999</v>
      </c>
      <c r="G21" s="6">
        <f>0.7%*D21</f>
        <v>0.26217239999999997</v>
      </c>
      <c r="H21" s="6">
        <f>4*(E21+G21)+9*F21</f>
        <v>41.910130800000012</v>
      </c>
    </row>
    <row r="22" spans="1:8" thickBot="1" x14ac:dyDescent="0.3">
      <c r="A22" s="4">
        <v>14</v>
      </c>
      <c r="B22" s="19" t="s">
        <v>68</v>
      </c>
      <c r="C22" s="6">
        <v>28.57</v>
      </c>
      <c r="D22" s="6">
        <f>100%*C22</f>
        <v>28.57</v>
      </c>
      <c r="E22" s="6">
        <f>11.8%*D22</f>
        <v>3.3712600000000004</v>
      </c>
      <c r="F22" s="6">
        <f>20.1%*D22</f>
        <v>5.7425700000000006</v>
      </c>
      <c r="G22" s="6">
        <f>0.87%*D22</f>
        <v>0.24855899999999997</v>
      </c>
      <c r="H22" s="6">
        <f>4*(E22+G22)+9*F22</f>
        <v>66.162406000000004</v>
      </c>
    </row>
    <row r="23" spans="1:8" ht="16.5" thickBot="1" x14ac:dyDescent="0.3">
      <c r="A23" s="23" t="s">
        <v>19</v>
      </c>
      <c r="B23" s="23"/>
      <c r="C23" s="23"/>
      <c r="D23" s="23"/>
      <c r="E23" s="23"/>
      <c r="F23" s="23"/>
      <c r="G23" s="23"/>
      <c r="H23" s="23"/>
    </row>
    <row r="24" spans="1:8" ht="16.5" customHeight="1" thickBot="1" x14ac:dyDescent="0.3">
      <c r="A24" s="12">
        <v>15</v>
      </c>
      <c r="B24" s="18" t="s">
        <v>20</v>
      </c>
      <c r="C24" s="3">
        <v>64.290000000000006</v>
      </c>
      <c r="D24" s="6">
        <f>92%*C24</f>
        <v>59.146800000000006</v>
      </c>
      <c r="E24" s="6">
        <f>15.48%*D24</f>
        <v>9.1559246400000003</v>
      </c>
      <c r="F24" s="6">
        <f>8.69%*D24</f>
        <v>5.1398569199999997</v>
      </c>
      <c r="G24" s="6"/>
      <c r="H24" s="6">
        <f>4*(E24+G24)+9*F24</f>
        <v>82.882410840000006</v>
      </c>
    </row>
    <row r="25" spans="1:8" ht="16.5" thickBot="1" x14ac:dyDescent="0.3">
      <c r="A25" s="23" t="s">
        <v>21</v>
      </c>
      <c r="B25" s="23"/>
      <c r="C25" s="23"/>
      <c r="D25" s="23"/>
      <c r="E25" s="23"/>
      <c r="F25" s="23"/>
      <c r="G25" s="23"/>
      <c r="H25" s="23"/>
    </row>
    <row r="26" spans="1:8" ht="16.5" customHeight="1" thickBot="1" x14ac:dyDescent="0.3">
      <c r="A26" s="12">
        <v>16</v>
      </c>
      <c r="B26" s="18" t="s">
        <v>72</v>
      </c>
      <c r="C26" s="3">
        <v>28.57</v>
      </c>
      <c r="D26" s="6">
        <f t="shared" ref="D26:D31" si="9">100%*C26</f>
        <v>28.57</v>
      </c>
      <c r="E26" s="6">
        <f>6.97%*D26</f>
        <v>1.9913289999999999</v>
      </c>
      <c r="F26" s="6">
        <f>8.13%*D26</f>
        <v>2.3227410000000002</v>
      </c>
      <c r="G26" s="6">
        <f>9.8%*C26</f>
        <v>2.7998600000000002</v>
      </c>
      <c r="H26" s="6">
        <f t="shared" ref="H26:H31" si="10">4*(E26+G26)+9*F26</f>
        <v>40.069425000000003</v>
      </c>
    </row>
    <row r="27" spans="1:8" ht="31.5" customHeight="1" thickBot="1" x14ac:dyDescent="0.3">
      <c r="A27" s="12">
        <v>17</v>
      </c>
      <c r="B27" s="14" t="s">
        <v>54</v>
      </c>
      <c r="C27" s="13">
        <v>4.29</v>
      </c>
      <c r="D27" s="13">
        <f t="shared" si="9"/>
        <v>4.29</v>
      </c>
      <c r="E27" s="13">
        <f>2.8%*D27</f>
        <v>0.12011999999999999</v>
      </c>
      <c r="F27" s="13">
        <f>3.2%*D27</f>
        <v>0.13728000000000001</v>
      </c>
      <c r="G27" s="13">
        <f>4.7%*D27</f>
        <v>0.20163</v>
      </c>
      <c r="H27" s="13">
        <f t="shared" si="10"/>
        <v>2.5225200000000001</v>
      </c>
    </row>
    <row r="28" spans="1:8" thickBot="1" x14ac:dyDescent="0.3">
      <c r="A28" s="20">
        <v>18</v>
      </c>
      <c r="B28" s="14" t="s">
        <v>42</v>
      </c>
      <c r="C28" s="13">
        <v>51.43</v>
      </c>
      <c r="D28" s="13">
        <f t="shared" si="9"/>
        <v>51.43</v>
      </c>
      <c r="E28" s="13">
        <f>2.8%*D28</f>
        <v>1.4400399999999998</v>
      </c>
      <c r="F28" s="13">
        <f>3.2%*D28</f>
        <v>1.6457600000000001</v>
      </c>
      <c r="G28" s="13">
        <f>4.7%*D28</f>
        <v>2.4172099999999999</v>
      </c>
      <c r="H28" s="13">
        <f t="shared" si="10"/>
        <v>30.240839999999999</v>
      </c>
    </row>
    <row r="29" spans="1:8" ht="17.25" customHeight="1" thickBot="1" x14ac:dyDescent="0.3">
      <c r="A29" s="20">
        <v>19</v>
      </c>
      <c r="B29" s="14" t="s">
        <v>74</v>
      </c>
      <c r="C29" s="13">
        <v>7.14</v>
      </c>
      <c r="D29" s="13">
        <f t="shared" si="9"/>
        <v>7.14</v>
      </c>
      <c r="E29" s="13">
        <f>10%*D29</f>
        <v>0.71399999999999997</v>
      </c>
      <c r="F29" s="13">
        <f>20%*D29</f>
        <v>1.4279999999999999</v>
      </c>
      <c r="G29" s="13">
        <f>2.8%*D29</f>
        <v>0.19991999999999996</v>
      </c>
      <c r="H29" s="13">
        <f t="shared" si="10"/>
        <v>16.507680000000001</v>
      </c>
    </row>
    <row r="30" spans="1:8" ht="16.5" customHeight="1" thickBot="1" x14ac:dyDescent="0.3">
      <c r="A30" s="20">
        <v>20</v>
      </c>
      <c r="B30" s="14" t="s">
        <v>69</v>
      </c>
      <c r="C30" s="13">
        <v>7.14</v>
      </c>
      <c r="D30" s="13">
        <f t="shared" si="9"/>
        <v>7.14</v>
      </c>
      <c r="E30" s="13">
        <f>20.8%*D30</f>
        <v>1.48512</v>
      </c>
      <c r="F30" s="13">
        <f>6%*D30</f>
        <v>0.42839999999999995</v>
      </c>
      <c r="G30" s="13">
        <f>2.8%*D30</f>
        <v>0.19991999999999996</v>
      </c>
      <c r="H30" s="13">
        <f t="shared" si="10"/>
        <v>10.595759999999999</v>
      </c>
    </row>
    <row r="31" spans="1:8" thickBot="1" x14ac:dyDescent="0.3">
      <c r="A31" s="20">
        <v>21</v>
      </c>
      <c r="B31" s="14" t="s">
        <v>55</v>
      </c>
      <c r="C31" s="13">
        <v>42.14</v>
      </c>
      <c r="D31" s="13">
        <f t="shared" si="9"/>
        <v>42.14</v>
      </c>
      <c r="E31" s="13">
        <f>2.6%*D31</f>
        <v>1.0956400000000002</v>
      </c>
      <c r="F31" s="13">
        <f>10%*D31</f>
        <v>4.2140000000000004</v>
      </c>
      <c r="G31" s="13">
        <f>3.8%*D31</f>
        <v>1.6013200000000001</v>
      </c>
      <c r="H31" s="13">
        <f t="shared" si="10"/>
        <v>48.713840000000005</v>
      </c>
    </row>
    <row r="32" spans="1:8" thickBot="1" x14ac:dyDescent="0.3">
      <c r="A32" s="20">
        <v>22</v>
      </c>
      <c r="B32" s="14" t="s">
        <v>43</v>
      </c>
      <c r="C32" s="13">
        <v>13.14</v>
      </c>
      <c r="D32" s="13">
        <f>80%*C32</f>
        <v>10.512</v>
      </c>
      <c r="E32" s="13">
        <f>17.9%*D32</f>
        <v>1.881648</v>
      </c>
      <c r="F32" s="13">
        <f>14.3%*D32</f>
        <v>1.5032160000000003</v>
      </c>
      <c r="G32" s="13"/>
      <c r="H32" s="13">
        <f>4*(E32+G32)+9*F32</f>
        <v>21.055536000000004</v>
      </c>
    </row>
    <row r="33" spans="1:8" ht="16.5" thickBot="1" x14ac:dyDescent="0.3">
      <c r="A33" s="23" t="s">
        <v>22</v>
      </c>
      <c r="B33" s="23"/>
      <c r="C33" s="23"/>
      <c r="D33" s="23"/>
      <c r="E33" s="23"/>
      <c r="F33" s="23"/>
      <c r="G33" s="23"/>
      <c r="H33" s="23"/>
    </row>
    <row r="34" spans="1:8" ht="30.75" thickBot="1" x14ac:dyDescent="0.3">
      <c r="A34" s="12">
        <v>23</v>
      </c>
      <c r="B34" s="18" t="s">
        <v>46</v>
      </c>
      <c r="C34" s="3">
        <v>23.32</v>
      </c>
      <c r="D34" s="6">
        <f>100%*C34</f>
        <v>23.32</v>
      </c>
      <c r="E34" s="6"/>
      <c r="F34" s="6">
        <f>99.9%*D34</f>
        <v>23.296680000000002</v>
      </c>
      <c r="G34" s="6"/>
      <c r="H34" s="6">
        <f>4*(E34+G34)+9*F34</f>
        <v>209.67012000000003</v>
      </c>
    </row>
    <row r="35" spans="1:8" ht="30.75" thickBot="1" x14ac:dyDescent="0.3">
      <c r="A35" s="12">
        <v>24</v>
      </c>
      <c r="B35" s="14" t="s">
        <v>49</v>
      </c>
      <c r="C35" s="13">
        <v>13.57</v>
      </c>
      <c r="D35" s="13">
        <f>100%*C35</f>
        <v>13.57</v>
      </c>
      <c r="E35" s="13">
        <f>0.5%*D35</f>
        <v>6.7850000000000008E-2</v>
      </c>
      <c r="F35" s="13">
        <f>82.5%*D35</f>
        <v>11.19525</v>
      </c>
      <c r="G35" s="13">
        <f>0.8%*D35</f>
        <v>0.10856</v>
      </c>
      <c r="H35" s="13">
        <f>4*(E35+G35)+9*F35</f>
        <v>101.46289</v>
      </c>
    </row>
    <row r="36" spans="1:8" ht="30.75" thickBot="1" x14ac:dyDescent="0.3">
      <c r="A36" s="16">
        <v>25</v>
      </c>
      <c r="B36" s="14" t="s">
        <v>50</v>
      </c>
      <c r="C36" s="13">
        <v>19.57</v>
      </c>
      <c r="D36" s="13">
        <f>100%*C36</f>
        <v>19.57</v>
      </c>
      <c r="E36" s="13"/>
      <c r="F36" s="13">
        <f>72.57%*D36</f>
        <v>14.201948999999999</v>
      </c>
      <c r="G36" s="13"/>
      <c r="H36" s="13">
        <f>4*(E36+G36)+9*F36</f>
        <v>127.81754099999999</v>
      </c>
    </row>
    <row r="37" spans="1:8" ht="16.5" thickBot="1" x14ac:dyDescent="0.3">
      <c r="A37" s="23" t="s">
        <v>23</v>
      </c>
      <c r="B37" s="23"/>
      <c r="C37" s="23"/>
      <c r="D37" s="23"/>
      <c r="E37" s="23"/>
      <c r="F37" s="23"/>
      <c r="G37" s="23"/>
      <c r="H37" s="23"/>
    </row>
    <row r="38" spans="1:8" ht="16.5" customHeight="1" thickBot="1" x14ac:dyDescent="0.3">
      <c r="A38" s="12">
        <v>26</v>
      </c>
      <c r="B38" s="18" t="s">
        <v>24</v>
      </c>
      <c r="C38" s="3">
        <v>401.07</v>
      </c>
      <c r="D38" s="6">
        <f>72%*C38</f>
        <v>288.7704</v>
      </c>
      <c r="E38" s="6">
        <f>2.1%*D38</f>
        <v>6.0641784000000003</v>
      </c>
      <c r="F38" s="6">
        <f>0.4%*D38</f>
        <v>1.1550815999999999</v>
      </c>
      <c r="G38" s="6">
        <f>15.6%*D38</f>
        <v>45.048182400000002</v>
      </c>
      <c r="H38" s="6">
        <f>4*(E38+G38)+9*F38</f>
        <v>214.84517760000003</v>
      </c>
    </row>
    <row r="39" spans="1:8" thickBot="1" x14ac:dyDescent="0.3">
      <c r="A39" s="16">
        <v>27</v>
      </c>
      <c r="B39" s="18" t="s">
        <v>25</v>
      </c>
      <c r="C39" s="3">
        <v>22.86</v>
      </c>
      <c r="D39" s="6">
        <f>75%*C39</f>
        <v>17.145</v>
      </c>
      <c r="E39" s="6">
        <f>1.87%*D39</f>
        <v>0.32061149999999999</v>
      </c>
      <c r="F39" s="6"/>
      <c r="G39" s="6">
        <f>4.16%*D39</f>
        <v>0.71323199999999998</v>
      </c>
      <c r="H39" s="6">
        <f>4*(E39+G39)+9*F39</f>
        <v>4.1353739999999997</v>
      </c>
    </row>
    <row r="40" spans="1:8" thickBot="1" x14ac:dyDescent="0.3">
      <c r="A40" s="16">
        <v>28</v>
      </c>
      <c r="B40" s="18" t="s">
        <v>51</v>
      </c>
      <c r="C40" s="3">
        <v>16.43</v>
      </c>
      <c r="D40" s="6">
        <f>75%*C40</f>
        <v>12.3225</v>
      </c>
      <c r="E40" s="6">
        <f>1.87%*D40</f>
        <v>0.23043075000000002</v>
      </c>
      <c r="F40" s="6"/>
      <c r="G40" s="6">
        <f>4.15%*D40</f>
        <v>0.51138375000000003</v>
      </c>
      <c r="H40" s="6">
        <f>4*(E40+G40)+9*F40</f>
        <v>2.9672580000000002</v>
      </c>
    </row>
    <row r="41" spans="1:8" thickBot="1" x14ac:dyDescent="0.3">
      <c r="A41" s="16">
        <v>29</v>
      </c>
      <c r="B41" s="18" t="s">
        <v>61</v>
      </c>
      <c r="C41" s="3">
        <v>29.89</v>
      </c>
      <c r="D41" s="6">
        <f>90%*C41</f>
        <v>26.901</v>
      </c>
      <c r="E41" s="6">
        <f>1.1%*D41</f>
        <v>0.29591100000000004</v>
      </c>
      <c r="F41" s="6">
        <f>0.2%*D41</f>
        <v>5.3802000000000003E-2</v>
      </c>
      <c r="G41" s="6">
        <f>3.8%*D41</f>
        <v>1.022238</v>
      </c>
      <c r="H41" s="6">
        <f t="shared" ref="H41:H43" si="11">4*(E41+G41)+9*F41</f>
        <v>5.7568140000000003</v>
      </c>
    </row>
    <row r="42" spans="1:8" thickBot="1" x14ac:dyDescent="0.3">
      <c r="A42" s="16">
        <v>30</v>
      </c>
      <c r="B42" s="18" t="s">
        <v>62</v>
      </c>
      <c r="C42" s="3">
        <v>33.29</v>
      </c>
      <c r="D42" s="6">
        <f>90%*C42</f>
        <v>29.960999999999999</v>
      </c>
      <c r="E42" s="6">
        <f>0.8%*D42</f>
        <v>0.23968799999999998</v>
      </c>
      <c r="F42" s="6"/>
      <c r="G42" s="6">
        <f>2.6%*D42</f>
        <v>0.77898600000000007</v>
      </c>
      <c r="H42" s="6">
        <f t="shared" si="11"/>
        <v>4.0746960000000003</v>
      </c>
    </row>
    <row r="43" spans="1:8" thickBot="1" x14ac:dyDescent="0.3">
      <c r="A43" s="16">
        <v>31</v>
      </c>
      <c r="B43" s="18" t="s">
        <v>60</v>
      </c>
      <c r="C43" s="3">
        <v>22.86</v>
      </c>
      <c r="D43" s="6">
        <f>85%*C43</f>
        <v>19.430999999999997</v>
      </c>
      <c r="E43" s="6">
        <f>1.5%*D43</f>
        <v>0.29146499999999997</v>
      </c>
      <c r="F43" s="6"/>
      <c r="G43" s="6">
        <f>6.2%*D43</f>
        <v>1.2047219999999998</v>
      </c>
      <c r="H43" s="6">
        <f t="shared" si="11"/>
        <v>5.9847479999999997</v>
      </c>
    </row>
    <row r="44" spans="1:8" thickBot="1" x14ac:dyDescent="0.3">
      <c r="A44" s="16">
        <v>32</v>
      </c>
      <c r="B44" s="18" t="s">
        <v>26</v>
      </c>
      <c r="C44" s="3">
        <v>32.14</v>
      </c>
      <c r="D44" s="6">
        <f>90%*C44</f>
        <v>28.926000000000002</v>
      </c>
      <c r="E44" s="6">
        <f>1.66%*D44</f>
        <v>0.48017160000000003</v>
      </c>
      <c r="F44" s="6"/>
      <c r="G44" s="6">
        <f>10%*D44</f>
        <v>2.8926000000000003</v>
      </c>
      <c r="H44" s="6">
        <f>4*(E44+G44)+9*F44</f>
        <v>13.4910864</v>
      </c>
    </row>
    <row r="45" spans="1:8" thickBot="1" x14ac:dyDescent="0.3">
      <c r="A45" s="16">
        <v>33</v>
      </c>
      <c r="B45" s="18" t="s">
        <v>27</v>
      </c>
      <c r="C45" s="3">
        <v>78.64</v>
      </c>
      <c r="D45" s="6">
        <f>80%*C45</f>
        <v>62.912000000000006</v>
      </c>
      <c r="E45" s="6">
        <f>1.77%*D45</f>
        <v>1.1135424</v>
      </c>
      <c r="F45" s="6"/>
      <c r="G45" s="6">
        <f>11%*D45</f>
        <v>6.9203200000000011</v>
      </c>
      <c r="H45" s="6">
        <f>4*(E45+G45)+9*F45</f>
        <v>32.135449600000001</v>
      </c>
    </row>
    <row r="46" spans="1:8" thickBot="1" x14ac:dyDescent="0.3">
      <c r="A46" s="16">
        <v>34</v>
      </c>
      <c r="B46" s="18" t="s">
        <v>28</v>
      </c>
      <c r="C46" s="3">
        <v>32.64</v>
      </c>
      <c r="D46" s="6">
        <f>90%*C46</f>
        <v>29.376000000000001</v>
      </c>
      <c r="E46" s="6">
        <f>1.58%*D46</f>
        <v>0.46414080000000008</v>
      </c>
      <c r="F46" s="6"/>
      <c r="G46" s="6">
        <f>9.5%*D46</f>
        <v>2.7907200000000003</v>
      </c>
      <c r="H46" s="6">
        <f t="shared" ref="H46:H47" si="12">4*(E46+G46)+9*F46</f>
        <v>13.019443200000001</v>
      </c>
    </row>
    <row r="47" spans="1:8" thickBot="1" x14ac:dyDescent="0.3">
      <c r="A47" s="16">
        <v>35</v>
      </c>
      <c r="B47" s="18" t="s">
        <v>29</v>
      </c>
      <c r="C47" s="3">
        <v>0.96</v>
      </c>
      <c r="D47" s="6">
        <f>92%*C47</f>
        <v>0.88319999999999999</v>
      </c>
      <c r="E47" s="6"/>
      <c r="F47" s="6"/>
      <c r="G47" s="6"/>
      <c r="H47" s="6">
        <f t="shared" si="12"/>
        <v>0</v>
      </c>
    </row>
    <row r="48" spans="1:8" thickBot="1" x14ac:dyDescent="0.3">
      <c r="A48" s="16">
        <v>36</v>
      </c>
      <c r="B48" s="18" t="s">
        <v>63</v>
      </c>
      <c r="C48" s="3">
        <v>7.14</v>
      </c>
      <c r="D48" s="6">
        <f>C48*80%</f>
        <v>5.7119999999999997</v>
      </c>
      <c r="E48" s="6">
        <f>D48*1.5%</f>
        <v>8.5679999999999992E-2</v>
      </c>
      <c r="F48" s="6"/>
      <c r="G48" s="6">
        <f>D48*3%</f>
        <v>0.17135999999999998</v>
      </c>
      <c r="H48" s="6">
        <f t="shared" ref="H48:H53" si="13">4*(E48+G48)+9*F48</f>
        <v>1.02816</v>
      </c>
    </row>
    <row r="49" spans="1:8" thickBot="1" x14ac:dyDescent="0.3">
      <c r="A49" s="16">
        <v>37</v>
      </c>
      <c r="B49" s="18" t="s">
        <v>64</v>
      </c>
      <c r="C49" s="3">
        <v>11.43</v>
      </c>
      <c r="D49" s="6">
        <f>C49*80%</f>
        <v>9.1440000000000001</v>
      </c>
      <c r="E49" s="6">
        <f>D49*2.82%</f>
        <v>0.2578608</v>
      </c>
      <c r="F49" s="6"/>
      <c r="G49" s="6">
        <f>D49*1.88%</f>
        <v>0.17190719999999998</v>
      </c>
      <c r="H49" s="6">
        <f t="shared" si="13"/>
        <v>1.7190719999999999</v>
      </c>
    </row>
    <row r="50" spans="1:8" thickBot="1" x14ac:dyDescent="0.3">
      <c r="A50" s="16">
        <v>38</v>
      </c>
      <c r="B50" s="18" t="s">
        <v>65</v>
      </c>
      <c r="C50" s="3">
        <v>9.2100000000000009</v>
      </c>
      <c r="D50" s="6">
        <f>C50*80%</f>
        <v>7.3680000000000012</v>
      </c>
      <c r="E50" s="6">
        <f>1.3%*D50</f>
        <v>9.5784000000000022E-2</v>
      </c>
      <c r="F50" s="6"/>
      <c r="G50" s="6">
        <f>4.3%*D50</f>
        <v>0.31682400000000005</v>
      </c>
      <c r="H50" s="6">
        <f t="shared" si="13"/>
        <v>1.6504320000000003</v>
      </c>
    </row>
    <row r="51" spans="1:8" thickBot="1" x14ac:dyDescent="0.3">
      <c r="A51" s="16">
        <v>39</v>
      </c>
      <c r="B51" s="18" t="s">
        <v>66</v>
      </c>
      <c r="C51" s="3">
        <v>14.29</v>
      </c>
      <c r="D51" s="6">
        <f>C51*80%</f>
        <v>11.432</v>
      </c>
      <c r="E51" s="6">
        <f>D51*4%</f>
        <v>0.45728000000000002</v>
      </c>
      <c r="F51" s="6"/>
      <c r="G51" s="6">
        <f>D51*4.3%</f>
        <v>0.49157599999999996</v>
      </c>
      <c r="H51" s="6">
        <f t="shared" si="13"/>
        <v>3.7954239999999997</v>
      </c>
    </row>
    <row r="52" spans="1:8" thickBot="1" x14ac:dyDescent="0.3">
      <c r="A52" s="16">
        <v>40</v>
      </c>
      <c r="B52" s="18" t="s">
        <v>56</v>
      </c>
      <c r="C52" s="3">
        <v>9.7200000000000006</v>
      </c>
      <c r="D52" s="6">
        <f>85%*C52</f>
        <v>8.2620000000000005</v>
      </c>
      <c r="E52" s="6"/>
      <c r="F52" s="6"/>
      <c r="G52" s="6"/>
      <c r="H52" s="6">
        <f t="shared" si="13"/>
        <v>0</v>
      </c>
    </row>
    <row r="53" spans="1:8" thickBot="1" x14ac:dyDescent="0.3">
      <c r="A53" s="16">
        <v>41</v>
      </c>
      <c r="B53" s="18" t="s">
        <v>30</v>
      </c>
      <c r="C53" s="3">
        <v>26.79</v>
      </c>
      <c r="D53" s="6">
        <f>85%*C53</f>
        <v>22.7715</v>
      </c>
      <c r="E53" s="6"/>
      <c r="F53" s="6"/>
      <c r="G53" s="6"/>
      <c r="H53" s="6">
        <f t="shared" si="13"/>
        <v>0</v>
      </c>
    </row>
    <row r="54" spans="1:8" ht="17.25" customHeight="1" thickBot="1" x14ac:dyDescent="0.3">
      <c r="A54" s="23" t="s">
        <v>31</v>
      </c>
      <c r="B54" s="23"/>
      <c r="C54" s="23"/>
      <c r="D54" s="23"/>
      <c r="E54" s="23"/>
      <c r="F54" s="23"/>
      <c r="G54" s="23"/>
      <c r="H54" s="23"/>
    </row>
    <row r="55" spans="1:8" thickBot="1" x14ac:dyDescent="0.3">
      <c r="A55" s="12">
        <v>42</v>
      </c>
      <c r="B55" s="18" t="s">
        <v>32</v>
      </c>
      <c r="C55" s="3">
        <v>132.13999999999999</v>
      </c>
      <c r="D55" s="6">
        <f>86%*C55</f>
        <v>113.64039999999999</v>
      </c>
      <c r="E55" s="6"/>
      <c r="F55" s="6"/>
      <c r="G55" s="6">
        <f>12%*D55</f>
        <v>13.636847999999997</v>
      </c>
      <c r="H55" s="6">
        <f>4*(E55+G55)+9*F55</f>
        <v>54.547391999999988</v>
      </c>
    </row>
    <row r="56" spans="1:8" thickBot="1" x14ac:dyDescent="0.3">
      <c r="A56" s="12">
        <v>43</v>
      </c>
      <c r="B56" s="18" t="s">
        <v>33</v>
      </c>
      <c r="C56" s="3">
        <v>4.29</v>
      </c>
      <c r="D56" s="6">
        <f t="shared" ref="D56" si="14">100%*C56</f>
        <v>4.29</v>
      </c>
      <c r="E56" s="6"/>
      <c r="F56" s="6"/>
      <c r="G56" s="6">
        <f>70.1%*D56</f>
        <v>3.0072899999999998</v>
      </c>
      <c r="H56" s="6">
        <f>4*(E56+G56)+9*F56</f>
        <v>12.029159999999999</v>
      </c>
    </row>
    <row r="57" spans="1:8" ht="16.5" thickBot="1" x14ac:dyDescent="0.3">
      <c r="A57" s="23" t="s">
        <v>35</v>
      </c>
      <c r="B57" s="23"/>
      <c r="C57" s="23"/>
      <c r="D57" s="23"/>
      <c r="E57" s="23"/>
      <c r="F57" s="23"/>
      <c r="G57" s="23"/>
      <c r="H57" s="23"/>
    </row>
    <row r="58" spans="1:8" thickBot="1" x14ac:dyDescent="0.3">
      <c r="A58" s="12">
        <v>44</v>
      </c>
      <c r="B58" s="21" t="s">
        <v>36</v>
      </c>
      <c r="C58" s="3">
        <v>1.41</v>
      </c>
      <c r="D58" s="6">
        <f>C58*48</f>
        <v>67.679999999999993</v>
      </c>
      <c r="E58" s="6">
        <f>12.7%*D58</f>
        <v>8.5953599999999994</v>
      </c>
      <c r="F58" s="6">
        <f>11.5%*D58</f>
        <v>7.7831999999999999</v>
      </c>
      <c r="G58" s="6"/>
      <c r="H58" s="6">
        <f t="shared" ref="H58:H63" si="15">4*(E58+G58)+9*F58</f>
        <v>104.43024</v>
      </c>
    </row>
    <row r="59" spans="1:8" thickBot="1" x14ac:dyDescent="0.3">
      <c r="A59" s="12">
        <v>45</v>
      </c>
      <c r="B59" s="18" t="s">
        <v>37</v>
      </c>
      <c r="C59" s="3">
        <v>43.21</v>
      </c>
      <c r="D59" s="6">
        <f t="shared" ref="D59:D63" si="16">100%*C59</f>
        <v>43.21</v>
      </c>
      <c r="E59" s="6"/>
      <c r="F59" s="6"/>
      <c r="G59" s="6">
        <f>99%*D59</f>
        <v>42.777900000000002</v>
      </c>
      <c r="H59" s="6">
        <f t="shared" si="15"/>
        <v>171.11160000000001</v>
      </c>
    </row>
    <row r="60" spans="1:8" thickBot="1" x14ac:dyDescent="0.3">
      <c r="A60" s="16">
        <v>46</v>
      </c>
      <c r="B60" s="18" t="s">
        <v>38</v>
      </c>
      <c r="C60" s="3">
        <v>9.2899999999999991</v>
      </c>
      <c r="D60" s="6">
        <f t="shared" si="16"/>
        <v>9.2899999999999991</v>
      </c>
      <c r="E60" s="6"/>
      <c r="F60" s="6"/>
      <c r="G60" s="6"/>
      <c r="H60" s="6">
        <f t="shared" si="15"/>
        <v>0</v>
      </c>
    </row>
    <row r="61" spans="1:8" thickBot="1" x14ac:dyDescent="0.3">
      <c r="A61" s="16">
        <v>47</v>
      </c>
      <c r="B61" s="18" t="s">
        <v>39</v>
      </c>
      <c r="C61" s="3">
        <v>1.5</v>
      </c>
      <c r="D61" s="6">
        <f t="shared" si="16"/>
        <v>1.5</v>
      </c>
      <c r="E61" s="6"/>
      <c r="F61" s="6"/>
      <c r="G61" s="6"/>
      <c r="H61" s="6">
        <f t="shared" si="15"/>
        <v>0</v>
      </c>
    </row>
    <row r="62" spans="1:8" thickBot="1" x14ac:dyDescent="0.3">
      <c r="A62" s="16">
        <v>48</v>
      </c>
      <c r="B62" s="18" t="s">
        <v>40</v>
      </c>
      <c r="C62" s="3">
        <v>0.36</v>
      </c>
      <c r="D62" s="6">
        <f t="shared" si="16"/>
        <v>0.36</v>
      </c>
      <c r="E62" s="6"/>
      <c r="F62" s="6"/>
      <c r="G62" s="6"/>
      <c r="H62" s="6">
        <f t="shared" si="15"/>
        <v>0</v>
      </c>
    </row>
    <row r="63" spans="1:8" thickBot="1" x14ac:dyDescent="0.3">
      <c r="A63" s="16">
        <v>49</v>
      </c>
      <c r="B63" s="18" t="s">
        <v>44</v>
      </c>
      <c r="C63" s="3">
        <v>1.79</v>
      </c>
      <c r="D63" s="6">
        <f t="shared" si="16"/>
        <v>1.79</v>
      </c>
      <c r="E63" s="6"/>
      <c r="F63" s="6"/>
      <c r="G63" s="6">
        <f>17.7%*D63</f>
        <v>0.31683</v>
      </c>
      <c r="H63" s="6">
        <f t="shared" si="15"/>
        <v>1.26732</v>
      </c>
    </row>
    <row r="64" spans="1:8" thickBot="1" x14ac:dyDescent="0.3">
      <c r="A64" s="16">
        <v>50</v>
      </c>
      <c r="B64" s="18" t="s">
        <v>34</v>
      </c>
      <c r="C64" s="2">
        <v>2.86</v>
      </c>
      <c r="D64" s="2">
        <f>100%*C64</f>
        <v>2.86</v>
      </c>
      <c r="E64" s="2">
        <f>0.8%*D64</f>
        <v>2.2880000000000001E-2</v>
      </c>
      <c r="F64" s="2"/>
      <c r="G64" s="2">
        <f>9.3%*D64</f>
        <v>0.26598000000000005</v>
      </c>
      <c r="H64" s="2">
        <f>4*(E64+G64)+9*F64</f>
        <v>1.1554400000000002</v>
      </c>
    </row>
    <row r="65" spans="1:8" thickBot="1" x14ac:dyDescent="0.3">
      <c r="A65" s="16">
        <v>51</v>
      </c>
      <c r="B65" s="14" t="s">
        <v>52</v>
      </c>
      <c r="C65" s="13">
        <v>78.569999999999993</v>
      </c>
      <c r="D65" s="13">
        <f t="shared" ref="D65" si="17">100%*C65</f>
        <v>78.569999999999993</v>
      </c>
      <c r="E65" s="13">
        <f>0.66%*D65</f>
        <v>0.51856199999999997</v>
      </c>
      <c r="F65" s="13"/>
      <c r="G65" s="13">
        <f>17.3%*D65</f>
        <v>13.592610000000001</v>
      </c>
      <c r="H65" s="13">
        <f t="shared" ref="H65" si="18">4*(E65+G65)+9*F65</f>
        <v>56.444687999999999</v>
      </c>
    </row>
    <row r="66" spans="1:8" thickBot="1" x14ac:dyDescent="0.3">
      <c r="A66" s="16">
        <v>52</v>
      </c>
      <c r="B66" s="18" t="s">
        <v>53</v>
      </c>
      <c r="C66" s="13">
        <v>0.28999999999999998</v>
      </c>
      <c r="D66" s="13">
        <f t="shared" ref="D66" si="19">100%*C66</f>
        <v>0.28999999999999998</v>
      </c>
      <c r="E66" s="13"/>
      <c r="F66" s="13"/>
      <c r="G66" s="13"/>
      <c r="H66" s="13">
        <f t="shared" ref="H66" si="20">4*(E66+G66)+9*F66</f>
        <v>0</v>
      </c>
    </row>
    <row r="67" spans="1:8" thickBot="1" x14ac:dyDescent="0.3">
      <c r="A67" s="16">
        <v>53</v>
      </c>
      <c r="B67" s="14" t="s">
        <v>57</v>
      </c>
      <c r="C67" s="13">
        <v>9.5</v>
      </c>
      <c r="D67" s="13">
        <f>C67*100%</f>
        <v>9.5</v>
      </c>
      <c r="E67" s="13">
        <f>D67*7.9%</f>
        <v>0.75050000000000006</v>
      </c>
      <c r="F67" s="13">
        <f>D67*1%</f>
        <v>9.5000000000000001E-2</v>
      </c>
      <c r="G67" s="13">
        <f>D67*49.6%</f>
        <v>4.7119999999999997</v>
      </c>
      <c r="H67" s="13">
        <f>4*(E67+G67)+9*F67</f>
        <v>22.704999999999998</v>
      </c>
    </row>
    <row r="68" spans="1:8" ht="16.5" thickBot="1" x14ac:dyDescent="0.3">
      <c r="A68" s="23" t="s">
        <v>41</v>
      </c>
      <c r="B68" s="23"/>
      <c r="C68" s="8">
        <f t="shared" ref="C68:G68" si="21">SUM(C5:C67)</f>
        <v>2649.5299999999988</v>
      </c>
      <c r="D68" s="8">
        <f t="shared" si="21"/>
        <v>2452.7466999999997</v>
      </c>
      <c r="E68" s="8">
        <f t="shared" si="21"/>
        <v>168.75663288999999</v>
      </c>
      <c r="F68" s="8">
        <f t="shared" si="21"/>
        <v>125.80638962</v>
      </c>
      <c r="G68" s="8">
        <f t="shared" si="21"/>
        <v>665.23000075000004</v>
      </c>
      <c r="H68" s="8">
        <f>SUM(H5:H67)</f>
        <v>4468.2040411399985</v>
      </c>
    </row>
    <row r="71" spans="1:8" x14ac:dyDescent="0.3">
      <c r="C71" s="9"/>
      <c r="F71" s="17"/>
    </row>
  </sheetData>
  <mergeCells count="18">
    <mergeCell ref="B1:H1"/>
    <mergeCell ref="A2:H2"/>
    <mergeCell ref="A8:H8"/>
    <mergeCell ref="A11:H11"/>
    <mergeCell ref="A18:H18"/>
    <mergeCell ref="A37:H37"/>
    <mergeCell ref="A16:H16"/>
    <mergeCell ref="A3:A4"/>
    <mergeCell ref="B3:B4"/>
    <mergeCell ref="C3:D3"/>
    <mergeCell ref="E3:G3"/>
    <mergeCell ref="H3:H4"/>
    <mergeCell ref="A54:H54"/>
    <mergeCell ref="A57:H57"/>
    <mergeCell ref="A68:B68"/>
    <mergeCell ref="A23:H23"/>
    <mergeCell ref="A25:H25"/>
    <mergeCell ref="A33:H33"/>
  </mergeCells>
  <conditionalFormatting sqref="B3:B1048576">
    <cfRule type="duplicateValues" dxfId="0" priority="1"/>
  </conditionalFormatting>
  <pageMargins left="0.37" right="0.21" top="0.28999999999999998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დანართი N5.1</vt:lpstr>
      <vt:lpstr>'დანართი N5.1'!Print_Area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2022-09-14T15:17:05Z</dcterms:modified>
</cp:coreProperties>
</file>