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2" r:id="rId1"/>
  </sheets>
  <calcPr calcId="152511"/>
</workbook>
</file>

<file path=xl/calcChain.xml><?xml version="1.0" encoding="utf-8"?>
<calcChain xmlns="http://schemas.openxmlformats.org/spreadsheetml/2006/main">
  <c r="C58" i="2" l="1"/>
  <c r="D55" i="2"/>
  <c r="G55" i="2" s="1"/>
  <c r="D39" i="2"/>
  <c r="G39" i="2" s="1"/>
  <c r="D38" i="2"/>
  <c r="G38" i="2" s="1"/>
  <c r="E55" i="2" l="1"/>
  <c r="H55" i="2" s="1"/>
  <c r="E39" i="2"/>
  <c r="H39" i="2" s="1"/>
  <c r="E38" i="2"/>
  <c r="H38" i="2" s="1"/>
  <c r="D41" i="2"/>
  <c r="G41" i="2" s="1"/>
  <c r="D57" i="2"/>
  <c r="G57" i="2" s="1"/>
  <c r="D6" i="2"/>
  <c r="E6" i="2" s="1"/>
  <c r="D5" i="2"/>
  <c r="E5" i="2" l="1"/>
  <c r="G5" i="2"/>
  <c r="F5" i="2"/>
  <c r="F6" i="2"/>
  <c r="G6" i="2"/>
  <c r="E41" i="2"/>
  <c r="H41" i="2" s="1"/>
  <c r="E57" i="2"/>
  <c r="H57" i="2" s="1"/>
  <c r="D27" i="2"/>
  <c r="G27" i="2" s="1"/>
  <c r="D40" i="2"/>
  <c r="G40" i="2" s="1"/>
  <c r="H6" i="2" l="1"/>
  <c r="H5" i="2"/>
  <c r="E27" i="2"/>
  <c r="F27" i="2"/>
  <c r="E40" i="2"/>
  <c r="H40" i="2" s="1"/>
  <c r="D24" i="2"/>
  <c r="F24" i="2" s="1"/>
  <c r="H54" i="2"/>
  <c r="D54" i="2"/>
  <c r="H52" i="2"/>
  <c r="D52" i="2"/>
  <c r="D56" i="2"/>
  <c r="G56" i="2" s="1"/>
  <c r="H56" i="2" s="1"/>
  <c r="H53" i="2"/>
  <c r="D53" i="2"/>
  <c r="D51" i="2"/>
  <c r="G51" i="2" s="1"/>
  <c r="H50" i="2"/>
  <c r="D50" i="2"/>
  <c r="H49" i="2"/>
  <c r="D49" i="2"/>
  <c r="D48" i="2"/>
  <c r="G48" i="2" s="1"/>
  <c r="H48" i="2" s="1"/>
  <c r="D47" i="2"/>
  <c r="F47" i="2" s="1"/>
  <c r="D45" i="2"/>
  <c r="G45" i="2" s="1"/>
  <c r="D44" i="2"/>
  <c r="G44" i="2" s="1"/>
  <c r="H44" i="2" s="1"/>
  <c r="H42" i="2"/>
  <c r="D42" i="2"/>
  <c r="H37" i="2"/>
  <c r="D37" i="2"/>
  <c r="D36" i="2"/>
  <c r="G36" i="2" s="1"/>
  <c r="D35" i="2"/>
  <c r="G35" i="2" s="1"/>
  <c r="D34" i="2"/>
  <c r="E34" i="2" s="1"/>
  <c r="D33" i="2"/>
  <c r="F33" i="2" s="1"/>
  <c r="D31" i="2"/>
  <c r="F31" i="2" s="1"/>
  <c r="H31" i="2" s="1"/>
  <c r="D30" i="2"/>
  <c r="F30" i="2" s="1"/>
  <c r="H30" i="2" s="1"/>
  <c r="D28" i="2"/>
  <c r="E28" i="2" s="1"/>
  <c r="D26" i="2"/>
  <c r="F26" i="2" s="1"/>
  <c r="D25" i="2"/>
  <c r="G25" i="2" s="1"/>
  <c r="D22" i="2"/>
  <c r="E22" i="2" s="1"/>
  <c r="D20" i="2"/>
  <c r="E20" i="2" s="1"/>
  <c r="D19" i="2"/>
  <c r="E19" i="2" s="1"/>
  <c r="D17" i="2"/>
  <c r="F17" i="2" s="1"/>
  <c r="D16" i="2"/>
  <c r="G16" i="2" s="1"/>
  <c r="D14" i="2"/>
  <c r="G14" i="2" s="1"/>
  <c r="D13" i="2"/>
  <c r="E13" i="2" s="1"/>
  <c r="D12" i="2"/>
  <c r="F12" i="2" s="1"/>
  <c r="D11" i="2"/>
  <c r="G11" i="2" s="1"/>
  <c r="D9" i="2"/>
  <c r="G9" i="2" s="1"/>
  <c r="D7" i="2"/>
  <c r="D58" i="2" l="1"/>
  <c r="F7" i="2"/>
  <c r="H27" i="2"/>
  <c r="F22" i="2"/>
  <c r="H22" i="2" s="1"/>
  <c r="E35" i="2"/>
  <c r="H35" i="2" s="1"/>
  <c r="E47" i="2"/>
  <c r="H47" i="2" s="1"/>
  <c r="G34" i="2"/>
  <c r="H34" i="2" s="1"/>
  <c r="E36" i="2"/>
  <c r="H36" i="2" s="1"/>
  <c r="E45" i="2"/>
  <c r="H45" i="2" s="1"/>
  <c r="F51" i="2"/>
  <c r="E11" i="2"/>
  <c r="E14" i="2"/>
  <c r="F19" i="2"/>
  <c r="H19" i="2" s="1"/>
  <c r="E9" i="2"/>
  <c r="F20" i="2"/>
  <c r="H20" i="2" s="1"/>
  <c r="E51" i="2"/>
  <c r="E24" i="2"/>
  <c r="F28" i="2"/>
  <c r="H28" i="2" s="1"/>
  <c r="F9" i="2"/>
  <c r="E16" i="2"/>
  <c r="E25" i="2"/>
  <c r="G24" i="2"/>
  <c r="F14" i="2"/>
  <c r="G13" i="2"/>
  <c r="F13" i="2"/>
  <c r="G12" i="2"/>
  <c r="E7" i="2"/>
  <c r="F11" i="2"/>
  <c r="E12" i="2"/>
  <c r="F16" i="2"/>
  <c r="E17" i="2"/>
  <c r="F25" i="2"/>
  <c r="E26" i="2"/>
  <c r="E33" i="2"/>
  <c r="G7" i="2"/>
  <c r="G17" i="2"/>
  <c r="G26" i="2"/>
  <c r="G33" i="2"/>
  <c r="E58" i="2" l="1"/>
  <c r="F58" i="2"/>
  <c r="G58" i="2"/>
  <c r="H9" i="2"/>
  <c r="H51" i="2"/>
  <c r="H12" i="2"/>
  <c r="H14" i="2"/>
  <c r="H11" i="2"/>
  <c r="H24" i="2"/>
  <c r="H13" i="2"/>
  <c r="H25" i="2"/>
  <c r="H26" i="2"/>
  <c r="H16" i="2"/>
  <c r="H33" i="2"/>
  <c r="H17" i="2"/>
  <c r="H7" i="2"/>
  <c r="H58" i="2" l="1"/>
</calcChain>
</file>

<file path=xl/sharedStrings.xml><?xml version="1.0" encoding="utf-8"?>
<sst xmlns="http://schemas.openxmlformats.org/spreadsheetml/2006/main" count="66" uniqueCount="66">
  <si>
    <t>ვანილი</t>
  </si>
  <si>
    <t>საფუარი</t>
  </si>
  <si>
    <t>კვების პროდუქტი</t>
  </si>
  <si>
    <t>რაოდენობა, გ</t>
  </si>
  <si>
    <t>ქიმიური შემადგენლობა, გ</t>
  </si>
  <si>
    <t>ენერგეტიკული ღირებულება, კკალ</t>
  </si>
  <si>
    <t>ბრუტო</t>
  </si>
  <si>
    <t>ნეტო</t>
  </si>
  <si>
    <t>ცილები</t>
  </si>
  <si>
    <t>ცხიმები</t>
  </si>
  <si>
    <t>ნახშირწყლები</t>
  </si>
  <si>
    <t>პარკოსნები</t>
  </si>
  <si>
    <t>ბარდა</t>
  </si>
  <si>
    <t>ბურღულეული</t>
  </si>
  <si>
    <t>მანანის ბურღული</t>
  </si>
  <si>
    <t>წიწიბურა</t>
  </si>
  <si>
    <t>ბრინჯი</t>
  </si>
  <si>
    <t>მაკარონის ნაწარმი</t>
  </si>
  <si>
    <t>მაკარონი</t>
  </si>
  <si>
    <t>ვერმიშელი</t>
  </si>
  <si>
    <t>ხორცი და ხორცის პროდუქტები</t>
  </si>
  <si>
    <t>ქათმის ხორცი</t>
  </si>
  <si>
    <t>თევზეული</t>
  </si>
  <si>
    <t>თევზის ფილე</t>
  </si>
  <si>
    <t>რძე და რძის პროდუქტები</t>
  </si>
  <si>
    <t>მაწონი</t>
  </si>
  <si>
    <t>ხაჭო</t>
  </si>
  <si>
    <t>ყველი</t>
  </si>
  <si>
    <t>ცხიმი</t>
  </si>
  <si>
    <t>მცენარეული ცხიმები (ზეთები)</t>
  </si>
  <si>
    <t>ცხოველური ცხიმები</t>
  </si>
  <si>
    <t>ბოსტნეული</t>
  </si>
  <si>
    <t>კარტოფილი</t>
  </si>
  <si>
    <t>ჭარხალი</t>
  </si>
  <si>
    <t>სტაფილო</t>
  </si>
  <si>
    <t>ხახვი</t>
  </si>
  <si>
    <t>ნიორი</t>
  </si>
  <si>
    <t>მწვანილი</t>
  </si>
  <si>
    <t>ხილი</t>
  </si>
  <si>
    <t>ხილი (სხვადასხვა)</t>
  </si>
  <si>
    <t>ხმელი ხილი (ჩირი, ასკილი)</t>
  </si>
  <si>
    <t>სხვა</t>
  </si>
  <si>
    <t>კვერცხი (ცალობით)</t>
  </si>
  <si>
    <t>შაქარი</t>
  </si>
  <si>
    <t>მარილი</t>
  </si>
  <si>
    <t>ჩაი</t>
  </si>
  <si>
    <t>კაკაო</t>
  </si>
  <si>
    <t>სანელებლები</t>
  </si>
  <si>
    <t>ტომატ-პასტა</t>
  </si>
  <si>
    <t>სულ</t>
  </si>
  <si>
    <t>რძე</t>
  </si>
  <si>
    <t>ყვავილოვანი კომბოსტო</t>
  </si>
  <si>
    <t>არაჟანი 10%</t>
  </si>
  <si>
    <t>პური ჭვავის ან რუხი</t>
  </si>
  <si>
    <t>პური ხორბლის</t>
  </si>
  <si>
    <t>გოგრა</t>
  </si>
  <si>
    <t>მჟავე კიტრი</t>
  </si>
  <si>
    <t>თაფლი</t>
  </si>
  <si>
    <t>კიტრი</t>
  </si>
  <si>
    <t>ბადრიჯანი</t>
  </si>
  <si>
    <t>დანართი №18.2</t>
  </si>
  <si>
    <t>ტუბერკულოზით დაავადებულ ბრალდებულ/მსჯავრდებულთა დღიურ რაციონში შემავალი პროდუქტების ჩამონათვალი და ენერგეტიკული ღირებულება (შემოდგომა-ზამთარი)</t>
  </si>
  <si>
    <t>ხორბ. ფქვილი I ხარისხის</t>
  </si>
  <si>
    <t>შვრიის ფანტელი, ე.წ. "ჰერკულესი"</t>
  </si>
  <si>
    <t>საქონლის ხორცი (I კატეგორიის)</t>
  </si>
  <si>
    <t>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</si>
</sst>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Sylfaen"/>
      <family val="1"/>
    </font>
    <font>
      <sz val="10"/>
      <color theme="1"/>
      <name val="Sylfaen"/>
      <family val="1"/>
    </font>
    <font>
      <b/>
      <sz val="10"/>
      <color theme="1"/>
      <name val="Sylfaen"/>
      <family val="1"/>
    </font>
    <font>
      <sz val="10"/>
      <name val="Sylfaen"/>
      <family val="1"/>
    </font>
    <font>
      <b/>
      <sz val="10"/>
      <color theme="1"/>
      <name val="AcadMtavr"/>
    </font>
    <font>
      <b/>
      <sz val="10"/>
      <color theme="1"/>
      <name val="Calibri"/>
      <family val="2"/>
      <scheme val="minor"/>
    </font>
    <font>
      <b/>
      <sz val="10"/>
      <color theme="1"/>
      <name val="AcadNusx"/>
    </font>
    <font>
      <b/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8">
    <xf numFmtId="0" fontId="0" fillId="0" borderId="0" xfId="0"/>
    <xf numFmtId="0" fontId="0" fillId="0" borderId="0" xfId="0" applyFill="1"/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/>
    </xf>
    <xf numFmtId="2" fontId="5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2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2" fontId="6" fillId="0" borderId="1" xfId="1" applyNumberFormat="1" applyFont="1" applyBorder="1" applyAlignment="1">
      <alignment horizontal="center" vertical="center"/>
    </xf>
    <xf numFmtId="2" fontId="6" fillId="0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Border="1"/>
    <xf numFmtId="0" fontId="3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abSelected="1" view="pageBreakPreview" zoomScaleNormal="100" zoomScaleSheetLayoutView="100" workbookViewId="0">
      <selection activeCell="A3" sqref="A3:A4"/>
    </sheetView>
  </sheetViews>
  <sheetFormatPr defaultRowHeight="15.75" x14ac:dyDescent="0.3"/>
  <cols>
    <col min="1" max="1" width="9.140625" style="8"/>
    <col min="2" max="2" width="25.85546875" style="9" customWidth="1"/>
    <col min="3" max="3" width="9.28515625" style="11" bestFit="1" customWidth="1"/>
    <col min="4" max="4" width="9.5703125" style="11" bestFit="1" customWidth="1"/>
    <col min="5" max="5" width="10.42578125" style="11" customWidth="1"/>
    <col min="6" max="6" width="10" style="11" customWidth="1"/>
    <col min="7" max="7" width="16.140625" style="11" customWidth="1"/>
    <col min="8" max="8" width="19" style="11" customWidth="1"/>
    <col min="9" max="9" width="9.140625" style="1"/>
  </cols>
  <sheetData>
    <row r="1" spans="1:8" thickBot="1" x14ac:dyDescent="0.3">
      <c r="A1" s="20" t="s">
        <v>60</v>
      </c>
      <c r="B1" s="20"/>
      <c r="C1" s="20"/>
      <c r="D1" s="20"/>
      <c r="E1" s="20"/>
      <c r="F1" s="20"/>
      <c r="G1" s="20"/>
      <c r="H1" s="20"/>
    </row>
    <row r="2" spans="1:8" ht="81.75" customHeight="1" thickBot="1" x14ac:dyDescent="0.3">
      <c r="A2" s="22" t="s">
        <v>61</v>
      </c>
      <c r="B2" s="22"/>
      <c r="C2" s="22"/>
      <c r="D2" s="22"/>
      <c r="E2" s="22"/>
      <c r="F2" s="22"/>
      <c r="G2" s="22"/>
      <c r="H2" s="22"/>
    </row>
    <row r="3" spans="1:8" ht="24" customHeight="1" thickBot="1" x14ac:dyDescent="0.3">
      <c r="A3" s="27" t="s">
        <v>65</v>
      </c>
      <c r="B3" s="24" t="s">
        <v>2</v>
      </c>
      <c r="C3" s="25" t="s">
        <v>3</v>
      </c>
      <c r="D3" s="25"/>
      <c r="E3" s="25" t="s">
        <v>4</v>
      </c>
      <c r="F3" s="25"/>
      <c r="G3" s="25"/>
      <c r="H3" s="26" t="s">
        <v>5</v>
      </c>
    </row>
    <row r="4" spans="1:8" ht="24.75" customHeight="1" thickBot="1" x14ac:dyDescent="0.3">
      <c r="A4" s="23"/>
      <c r="B4" s="24"/>
      <c r="C4" s="18" t="s">
        <v>6</v>
      </c>
      <c r="D4" s="18" t="s">
        <v>7</v>
      </c>
      <c r="E4" s="18" t="s">
        <v>8</v>
      </c>
      <c r="F4" s="18" t="s">
        <v>9</v>
      </c>
      <c r="G4" s="18" t="s">
        <v>10</v>
      </c>
      <c r="H4" s="26"/>
    </row>
    <row r="5" spans="1:8" thickBot="1" x14ac:dyDescent="0.3">
      <c r="A5" s="19">
        <v>1</v>
      </c>
      <c r="B5" s="3" t="s">
        <v>53</v>
      </c>
      <c r="C5" s="4">
        <v>200</v>
      </c>
      <c r="D5" s="5">
        <f>100%*C5</f>
        <v>200</v>
      </c>
      <c r="E5" s="5">
        <f>D5*6.6%</f>
        <v>13.200000000000001</v>
      </c>
      <c r="F5" s="5">
        <f>D5*1.2%</f>
        <v>2.4</v>
      </c>
      <c r="G5" s="5">
        <f>D5*34.2%</f>
        <v>68.400000000000006</v>
      </c>
      <c r="H5" s="5">
        <f>4*(E5+G5)+9*F5</f>
        <v>348.00000000000006</v>
      </c>
    </row>
    <row r="6" spans="1:8" thickBot="1" x14ac:dyDescent="0.3">
      <c r="A6" s="19">
        <v>2</v>
      </c>
      <c r="B6" s="3" t="s">
        <v>54</v>
      </c>
      <c r="C6" s="4">
        <v>300</v>
      </c>
      <c r="D6" s="5">
        <f>C6*100%</f>
        <v>300</v>
      </c>
      <c r="E6" s="5">
        <f>D6*7.9%</f>
        <v>23.7</v>
      </c>
      <c r="F6" s="5">
        <f>D6*1%</f>
        <v>3</v>
      </c>
      <c r="G6" s="5">
        <f>D6*49.6%</f>
        <v>148.80000000000001</v>
      </c>
      <c r="H6" s="5">
        <f>4*(E6+G6)+9*F6</f>
        <v>717</v>
      </c>
    </row>
    <row r="7" spans="1:8" thickBot="1" x14ac:dyDescent="0.3">
      <c r="A7" s="19">
        <v>3</v>
      </c>
      <c r="B7" s="3" t="s">
        <v>62</v>
      </c>
      <c r="C7" s="4">
        <v>33.57</v>
      </c>
      <c r="D7" s="4">
        <f>C7*100%</f>
        <v>33.57</v>
      </c>
      <c r="E7" s="4">
        <f>D7*10%</f>
        <v>3.3570000000000002</v>
      </c>
      <c r="F7" s="4">
        <f>D7*1.3%</f>
        <v>0.43641000000000002</v>
      </c>
      <c r="G7" s="4">
        <f>D7*69%</f>
        <v>23.1633</v>
      </c>
      <c r="H7" s="5">
        <f t="shared" ref="H7" si="0">4*(E7+G7)+9*F7</f>
        <v>110.00888999999999</v>
      </c>
    </row>
    <row r="8" spans="1:8" ht="16.5" customHeight="1" thickBot="1" x14ac:dyDescent="0.3">
      <c r="A8" s="21" t="s">
        <v>11</v>
      </c>
      <c r="B8" s="21"/>
      <c r="C8" s="21"/>
      <c r="D8" s="21"/>
      <c r="E8" s="21"/>
      <c r="F8" s="21"/>
      <c r="G8" s="21"/>
      <c r="H8" s="21"/>
    </row>
    <row r="9" spans="1:8" thickBot="1" x14ac:dyDescent="0.3">
      <c r="A9" s="19">
        <v>4</v>
      </c>
      <c r="B9" s="3" t="s">
        <v>12</v>
      </c>
      <c r="C9" s="4">
        <v>3.57</v>
      </c>
      <c r="D9" s="5">
        <f t="shared" ref="D9" si="1">C9*100%</f>
        <v>3.57</v>
      </c>
      <c r="E9" s="5">
        <f>D9*20%</f>
        <v>0.71399999999999997</v>
      </c>
      <c r="F9" s="5">
        <f>D9*2%</f>
        <v>7.1400000000000005E-2</v>
      </c>
      <c r="G9" s="5">
        <f>D9*48%</f>
        <v>1.7135999999999998</v>
      </c>
      <c r="H9" s="5">
        <f t="shared" ref="H9" si="2">4*(E9+G9)+9*F9</f>
        <v>10.353</v>
      </c>
    </row>
    <row r="10" spans="1:8" ht="16.5" customHeight="1" thickBot="1" x14ac:dyDescent="0.3">
      <c r="A10" s="21" t="s">
        <v>13</v>
      </c>
      <c r="B10" s="21"/>
      <c r="C10" s="21"/>
      <c r="D10" s="21"/>
      <c r="E10" s="21"/>
      <c r="F10" s="21"/>
      <c r="G10" s="21"/>
      <c r="H10" s="21"/>
    </row>
    <row r="11" spans="1:8" thickBot="1" x14ac:dyDescent="0.3">
      <c r="A11" s="19">
        <v>5</v>
      </c>
      <c r="B11" s="3" t="s">
        <v>14</v>
      </c>
      <c r="C11" s="4">
        <v>14.29</v>
      </c>
      <c r="D11" s="5">
        <f t="shared" ref="D11:D14" si="3">C11*100%</f>
        <v>14.29</v>
      </c>
      <c r="E11" s="5">
        <f>D11*11.25%</f>
        <v>1.6076249999999999</v>
      </c>
      <c r="F11" s="5">
        <f>0.87%*D11</f>
        <v>0.12432299999999999</v>
      </c>
      <c r="G11" s="5">
        <f>67.7%*D11</f>
        <v>9.6743299999999994</v>
      </c>
      <c r="H11" s="5">
        <f t="shared" ref="H11:H14" si="4">4*(E11+G11)+9*F11</f>
        <v>46.246727</v>
      </c>
    </row>
    <row r="12" spans="1:8" thickBot="1" x14ac:dyDescent="0.3">
      <c r="A12" s="19">
        <v>6</v>
      </c>
      <c r="B12" s="3" t="s">
        <v>15</v>
      </c>
      <c r="C12" s="4">
        <v>34.29</v>
      </c>
      <c r="D12" s="5">
        <f t="shared" si="3"/>
        <v>34.29</v>
      </c>
      <c r="E12" s="5">
        <f>10.78%*D12</f>
        <v>3.6964619999999995</v>
      </c>
      <c r="F12" s="5">
        <f>3.14%*D12</f>
        <v>1.0767060000000002</v>
      </c>
      <c r="G12" s="5">
        <f>55.9%*D12</f>
        <v>19.168109999999999</v>
      </c>
      <c r="H12" s="5">
        <f t="shared" si="4"/>
        <v>101.148642</v>
      </c>
    </row>
    <row r="13" spans="1:8" thickBot="1" x14ac:dyDescent="0.3">
      <c r="A13" s="19">
        <v>7</v>
      </c>
      <c r="B13" s="3" t="s">
        <v>16</v>
      </c>
      <c r="C13" s="4">
        <v>20.29</v>
      </c>
      <c r="D13" s="5">
        <f t="shared" si="3"/>
        <v>20.29</v>
      </c>
      <c r="E13" s="5">
        <f>7.4%*D13</f>
        <v>1.5014600000000002</v>
      </c>
      <c r="F13" s="5">
        <f>3.14%*D13</f>
        <v>0.63710600000000006</v>
      </c>
      <c r="G13" s="5">
        <f>62.3%*D13</f>
        <v>12.64067</v>
      </c>
      <c r="H13" s="5">
        <f t="shared" si="4"/>
        <v>62.302474000000004</v>
      </c>
    </row>
    <row r="14" spans="1:8" ht="30.75" thickBot="1" x14ac:dyDescent="0.3">
      <c r="A14" s="19">
        <v>8</v>
      </c>
      <c r="B14" s="2" t="s">
        <v>63</v>
      </c>
      <c r="C14" s="4">
        <v>7.14</v>
      </c>
      <c r="D14" s="5">
        <f t="shared" si="3"/>
        <v>7.14</v>
      </c>
      <c r="E14" s="5">
        <f>12%*D14</f>
        <v>0.8567999999999999</v>
      </c>
      <c r="F14" s="5">
        <f>6.2%*D14</f>
        <v>0.44267999999999996</v>
      </c>
      <c r="G14" s="5">
        <f>62%*D14</f>
        <v>4.4268000000000001</v>
      </c>
      <c r="H14" s="5">
        <f t="shared" si="4"/>
        <v>25.11852</v>
      </c>
    </row>
    <row r="15" spans="1:8" ht="16.5" customHeight="1" thickBot="1" x14ac:dyDescent="0.3">
      <c r="A15" s="21" t="s">
        <v>17</v>
      </c>
      <c r="B15" s="21"/>
      <c r="C15" s="21"/>
      <c r="D15" s="21"/>
      <c r="E15" s="21"/>
      <c r="F15" s="21"/>
      <c r="G15" s="21"/>
      <c r="H15" s="21"/>
    </row>
    <row r="16" spans="1:8" thickBot="1" x14ac:dyDescent="0.3">
      <c r="A16" s="19">
        <v>9</v>
      </c>
      <c r="B16" s="3" t="s">
        <v>18</v>
      </c>
      <c r="C16" s="4">
        <v>12</v>
      </c>
      <c r="D16" s="5">
        <f t="shared" ref="D16:D17" si="5">C16*100%</f>
        <v>12</v>
      </c>
      <c r="E16" s="5">
        <f>9.15%*D16</f>
        <v>1.0979999999999999</v>
      </c>
      <c r="F16" s="5">
        <f>0.8%*D16</f>
        <v>9.6000000000000002E-2</v>
      </c>
      <c r="G16" s="5">
        <f>60%*D16</f>
        <v>7.1999999999999993</v>
      </c>
      <c r="H16" s="5">
        <f>4*(E16+G16)+9*F16</f>
        <v>34.05599999999999</v>
      </c>
    </row>
    <row r="17" spans="1:8" thickBot="1" x14ac:dyDescent="0.3">
      <c r="A17" s="19">
        <v>10</v>
      </c>
      <c r="B17" s="3" t="s">
        <v>19</v>
      </c>
      <c r="C17" s="4">
        <v>8.57</v>
      </c>
      <c r="D17" s="5">
        <f t="shared" si="5"/>
        <v>8.57</v>
      </c>
      <c r="E17" s="5">
        <f>9.09%*D17</f>
        <v>0.77901299999999996</v>
      </c>
      <c r="F17" s="5">
        <f>0.9%*D17</f>
        <v>7.7130000000000018E-2</v>
      </c>
      <c r="G17" s="5">
        <f>63.6%*D17</f>
        <v>5.45052</v>
      </c>
      <c r="H17" s="5">
        <f>4*(E17+G17)+9*F17</f>
        <v>25.612302</v>
      </c>
    </row>
    <row r="18" spans="1:8" ht="16.5" customHeight="1" thickBot="1" x14ac:dyDescent="0.3">
      <c r="A18" s="21" t="s">
        <v>20</v>
      </c>
      <c r="B18" s="21"/>
      <c r="C18" s="21"/>
      <c r="D18" s="21"/>
      <c r="E18" s="21"/>
      <c r="F18" s="21"/>
      <c r="G18" s="21"/>
      <c r="H18" s="21"/>
    </row>
    <row r="19" spans="1:8" ht="30.75" thickBot="1" x14ac:dyDescent="0.3">
      <c r="A19" s="19">
        <v>11</v>
      </c>
      <c r="B19" s="3" t="s">
        <v>64</v>
      </c>
      <c r="C19" s="4">
        <v>120</v>
      </c>
      <c r="D19" s="5">
        <f>C19*75%</f>
        <v>90</v>
      </c>
      <c r="E19" s="5">
        <f>18.6%*D19</f>
        <v>16.740000000000002</v>
      </c>
      <c r="F19" s="5">
        <f>17.3%*D19</f>
        <v>15.570000000000002</v>
      </c>
      <c r="G19" s="5"/>
      <c r="H19" s="5">
        <f>4*(E19+G19)+9*F19</f>
        <v>207.09000000000003</v>
      </c>
    </row>
    <row r="20" spans="1:8" thickBot="1" x14ac:dyDescent="0.3">
      <c r="A20" s="19">
        <v>12</v>
      </c>
      <c r="B20" s="3" t="s">
        <v>21</v>
      </c>
      <c r="C20" s="4">
        <v>70</v>
      </c>
      <c r="D20" s="5">
        <f>C20*72%</f>
        <v>50.4</v>
      </c>
      <c r="E20" s="5">
        <f>18.5%*D20</f>
        <v>9.3239999999999998</v>
      </c>
      <c r="F20" s="5">
        <f>15.9%*D20</f>
        <v>8.0136000000000003</v>
      </c>
      <c r="G20" s="5"/>
      <c r="H20" s="5">
        <f>4*(E20+G20)+9*F20</f>
        <v>109.41839999999999</v>
      </c>
    </row>
    <row r="21" spans="1:8" ht="15.75" customHeight="1" thickBot="1" x14ac:dyDescent="0.3">
      <c r="A21" s="21" t="s">
        <v>22</v>
      </c>
      <c r="B21" s="21"/>
      <c r="C21" s="21"/>
      <c r="D21" s="21"/>
      <c r="E21" s="21"/>
      <c r="F21" s="21"/>
      <c r="G21" s="21"/>
      <c r="H21" s="21"/>
    </row>
    <row r="22" spans="1:8" thickBot="1" x14ac:dyDescent="0.3">
      <c r="A22" s="19">
        <v>13</v>
      </c>
      <c r="B22" s="3" t="s">
        <v>23</v>
      </c>
      <c r="C22" s="4">
        <v>35</v>
      </c>
      <c r="D22" s="5">
        <f>92%*C22</f>
        <v>32.200000000000003</v>
      </c>
      <c r="E22" s="5">
        <f>15.48%*D22</f>
        <v>4.9845600000000001</v>
      </c>
      <c r="F22" s="5">
        <f>8.69%*D22</f>
        <v>2.7981799999999999</v>
      </c>
      <c r="G22" s="5"/>
      <c r="H22" s="5">
        <f>4*(E22+G22)+9*F22</f>
        <v>45.121859999999998</v>
      </c>
    </row>
    <row r="23" spans="1:8" ht="16.5" customHeight="1" thickBot="1" x14ac:dyDescent="0.3">
      <c r="A23" s="21" t="s">
        <v>24</v>
      </c>
      <c r="B23" s="21"/>
      <c r="C23" s="21"/>
      <c r="D23" s="21"/>
      <c r="E23" s="21"/>
      <c r="F23" s="21"/>
      <c r="G23" s="21"/>
      <c r="H23" s="21"/>
    </row>
    <row r="24" spans="1:8" s="1" customFormat="1" thickBot="1" x14ac:dyDescent="0.3">
      <c r="A24" s="19">
        <v>14</v>
      </c>
      <c r="B24" s="3" t="s">
        <v>50</v>
      </c>
      <c r="C24" s="12">
        <v>227.86</v>
      </c>
      <c r="D24" s="12">
        <f t="shared" ref="D24:D27" si="6">100%*C24</f>
        <v>227.86</v>
      </c>
      <c r="E24" s="12">
        <f>2.8%*D24</f>
        <v>6.3800799999999995</v>
      </c>
      <c r="F24" s="12">
        <f>3.2%*D24</f>
        <v>7.2915200000000002</v>
      </c>
      <c r="G24" s="12">
        <f>4.7%*D24</f>
        <v>10.709420000000001</v>
      </c>
      <c r="H24" s="13">
        <f t="shared" ref="H24:H27" si="7">4*(E24+G24)+9*F24</f>
        <v>133.98168000000001</v>
      </c>
    </row>
    <row r="25" spans="1:8" s="1" customFormat="1" thickBot="1" x14ac:dyDescent="0.3">
      <c r="A25" s="19">
        <v>15</v>
      </c>
      <c r="B25" s="3" t="s">
        <v>25</v>
      </c>
      <c r="C25" s="4">
        <v>142.13999999999999</v>
      </c>
      <c r="D25" s="5">
        <f t="shared" si="6"/>
        <v>142.13999999999999</v>
      </c>
      <c r="E25" s="5">
        <f>2.8%*D25</f>
        <v>3.979919999999999</v>
      </c>
      <c r="F25" s="5">
        <f>3.2%*D25</f>
        <v>4.5484799999999996</v>
      </c>
      <c r="G25" s="5">
        <f>4.7%*D25</f>
        <v>6.6805799999999991</v>
      </c>
      <c r="H25" s="5">
        <f t="shared" si="7"/>
        <v>83.578319999999991</v>
      </c>
    </row>
    <row r="26" spans="1:8" s="1" customFormat="1" thickBot="1" x14ac:dyDescent="0.3">
      <c r="A26" s="19">
        <v>16</v>
      </c>
      <c r="B26" s="3" t="s">
        <v>26</v>
      </c>
      <c r="C26" s="4">
        <v>35.71</v>
      </c>
      <c r="D26" s="5">
        <f t="shared" si="6"/>
        <v>35.71</v>
      </c>
      <c r="E26" s="5">
        <f>10%*D26</f>
        <v>3.5710000000000002</v>
      </c>
      <c r="F26" s="5">
        <f>20%*D26</f>
        <v>7.1420000000000003</v>
      </c>
      <c r="G26" s="5">
        <f>2.8%*D26</f>
        <v>0.99987999999999988</v>
      </c>
      <c r="H26" s="5">
        <f t="shared" si="7"/>
        <v>82.561520000000002</v>
      </c>
    </row>
    <row r="27" spans="1:8" s="1" customFormat="1" thickBot="1" x14ac:dyDescent="0.3">
      <c r="A27" s="19">
        <v>17</v>
      </c>
      <c r="B27" s="3" t="s">
        <v>52</v>
      </c>
      <c r="C27" s="14">
        <v>19.29</v>
      </c>
      <c r="D27" s="14">
        <f t="shared" si="6"/>
        <v>19.29</v>
      </c>
      <c r="E27" s="14">
        <f>2.6%*D27</f>
        <v>0.50153999999999999</v>
      </c>
      <c r="F27" s="14">
        <f>10%*D27</f>
        <v>1.929</v>
      </c>
      <c r="G27" s="14">
        <f>3.8%*D27</f>
        <v>0.73302</v>
      </c>
      <c r="H27" s="15">
        <f t="shared" si="7"/>
        <v>22.299240000000001</v>
      </c>
    </row>
    <row r="28" spans="1:8" s="1" customFormat="1" thickBot="1" x14ac:dyDescent="0.3">
      <c r="A28" s="19">
        <v>18</v>
      </c>
      <c r="B28" s="2" t="s">
        <v>27</v>
      </c>
      <c r="C28" s="4">
        <v>24</v>
      </c>
      <c r="D28" s="5">
        <f>80%*C28</f>
        <v>19.200000000000003</v>
      </c>
      <c r="E28" s="5">
        <f>17.9%*D28</f>
        <v>3.4368000000000003</v>
      </c>
      <c r="F28" s="5">
        <f>14.3%*D28</f>
        <v>2.7456000000000009</v>
      </c>
      <c r="G28" s="5"/>
      <c r="H28" s="5">
        <f>4*(E28+G28)+9*F28</f>
        <v>38.457600000000006</v>
      </c>
    </row>
    <row r="29" spans="1:8" s="1" customFormat="1" thickBot="1" x14ac:dyDescent="0.3">
      <c r="A29" s="21" t="s">
        <v>28</v>
      </c>
      <c r="B29" s="21"/>
      <c r="C29" s="21"/>
      <c r="D29" s="21"/>
      <c r="E29" s="21"/>
      <c r="F29" s="21"/>
      <c r="G29" s="21"/>
      <c r="H29" s="21"/>
    </row>
    <row r="30" spans="1:8" s="1" customFormat="1" ht="30.75" thickBot="1" x14ac:dyDescent="0.3">
      <c r="A30" s="19">
        <v>19</v>
      </c>
      <c r="B30" s="2" t="s">
        <v>29</v>
      </c>
      <c r="C30" s="4">
        <v>12.14</v>
      </c>
      <c r="D30" s="5">
        <f>100%*C30</f>
        <v>12.14</v>
      </c>
      <c r="E30" s="5"/>
      <c r="F30" s="5">
        <f>99.9%*D30</f>
        <v>12.127860000000002</v>
      </c>
      <c r="G30" s="5"/>
      <c r="H30" s="5">
        <f>4*(E30+G30)+9*F30</f>
        <v>109.15074000000001</v>
      </c>
    </row>
    <row r="31" spans="1:8" s="1" customFormat="1" thickBot="1" x14ac:dyDescent="0.3">
      <c r="A31" s="19">
        <v>20</v>
      </c>
      <c r="B31" s="2" t="s">
        <v>30</v>
      </c>
      <c r="C31" s="4">
        <v>36.14</v>
      </c>
      <c r="D31" s="5">
        <f>100%*C31</f>
        <v>36.14</v>
      </c>
      <c r="E31" s="5"/>
      <c r="F31" s="5">
        <f>72.57%*D31</f>
        <v>26.226797999999995</v>
      </c>
      <c r="G31" s="5"/>
      <c r="H31" s="5">
        <f>4*(E31+G31)+9*F31</f>
        <v>236.04118199999996</v>
      </c>
    </row>
    <row r="32" spans="1:8" s="1" customFormat="1" ht="16.5" customHeight="1" thickBot="1" x14ac:dyDescent="0.3">
      <c r="A32" s="21" t="s">
        <v>31</v>
      </c>
      <c r="B32" s="21"/>
      <c r="C32" s="21"/>
      <c r="D32" s="21"/>
      <c r="E32" s="21"/>
      <c r="F32" s="21"/>
      <c r="G32" s="21"/>
      <c r="H32" s="21"/>
    </row>
    <row r="33" spans="1:8" s="1" customFormat="1" thickBot="1" x14ac:dyDescent="0.3">
      <c r="A33" s="19">
        <v>21</v>
      </c>
      <c r="B33" s="3" t="s">
        <v>32</v>
      </c>
      <c r="C33" s="4">
        <v>366.79</v>
      </c>
      <c r="D33" s="5">
        <f>72%*C33</f>
        <v>264.08879999999999</v>
      </c>
      <c r="E33" s="5">
        <f>2.1%*D33</f>
        <v>5.5458648000000004</v>
      </c>
      <c r="F33" s="5">
        <f>0.4%*D33</f>
        <v>1.0563552</v>
      </c>
      <c r="G33" s="5">
        <f>15.6%*D33</f>
        <v>41.1978528</v>
      </c>
      <c r="H33" s="5">
        <f>4*(E33+G33)+9*F33</f>
        <v>196.48206719999999</v>
      </c>
    </row>
    <row r="34" spans="1:8" s="1" customFormat="1" thickBot="1" x14ac:dyDescent="0.3">
      <c r="A34" s="19">
        <v>22</v>
      </c>
      <c r="B34" s="3" t="s">
        <v>33</v>
      </c>
      <c r="C34" s="4">
        <v>3.57</v>
      </c>
      <c r="D34" s="5">
        <f>90%*C34</f>
        <v>3.2130000000000001</v>
      </c>
      <c r="E34" s="5">
        <f>1.66%*D34</f>
        <v>5.3335800000000003E-2</v>
      </c>
      <c r="F34" s="5"/>
      <c r="G34" s="5">
        <f>10%*D34</f>
        <v>0.32130000000000003</v>
      </c>
      <c r="H34" s="5">
        <f>4*(E34+G34)+9*F34</f>
        <v>1.4985432000000001</v>
      </c>
    </row>
    <row r="35" spans="1:8" s="1" customFormat="1" thickBot="1" x14ac:dyDescent="0.3">
      <c r="A35" s="19">
        <v>23</v>
      </c>
      <c r="B35" s="3" t="s">
        <v>34</v>
      </c>
      <c r="C35" s="4">
        <v>117.21</v>
      </c>
      <c r="D35" s="5">
        <f>80%*C35</f>
        <v>93.768000000000001</v>
      </c>
      <c r="E35" s="5">
        <f>1.77%*D35</f>
        <v>1.6596936</v>
      </c>
      <c r="F35" s="5"/>
      <c r="G35" s="5">
        <f>11%*D35</f>
        <v>10.31448</v>
      </c>
      <c r="H35" s="5">
        <f>4*(E35+G35)+9*F35</f>
        <v>47.896694400000001</v>
      </c>
    </row>
    <row r="36" spans="1:8" s="1" customFormat="1" thickBot="1" x14ac:dyDescent="0.3">
      <c r="A36" s="19">
        <v>24</v>
      </c>
      <c r="B36" s="3" t="s">
        <v>35</v>
      </c>
      <c r="C36" s="4">
        <v>25.43</v>
      </c>
      <c r="D36" s="5">
        <f>90%*C36</f>
        <v>22.887</v>
      </c>
      <c r="E36" s="5">
        <f>1.58%*D36</f>
        <v>0.36161460000000006</v>
      </c>
      <c r="F36" s="5"/>
      <c r="G36" s="5">
        <f>9.5%*D36</f>
        <v>2.1742650000000001</v>
      </c>
      <c r="H36" s="5">
        <f t="shared" ref="H36:H39" si="8">4*(E36+G36)+9*F36</f>
        <v>10.143518400000001</v>
      </c>
    </row>
    <row r="37" spans="1:8" s="1" customFormat="1" thickBot="1" x14ac:dyDescent="0.3">
      <c r="A37" s="19">
        <v>25</v>
      </c>
      <c r="B37" s="3" t="s">
        <v>36</v>
      </c>
      <c r="C37" s="4">
        <v>0.64</v>
      </c>
      <c r="D37" s="5">
        <f>92%*C37</f>
        <v>0.58879999999999999</v>
      </c>
      <c r="E37" s="5"/>
      <c r="F37" s="5"/>
      <c r="G37" s="5"/>
      <c r="H37" s="5">
        <f t="shared" si="8"/>
        <v>0</v>
      </c>
    </row>
    <row r="38" spans="1:8" s="1" customFormat="1" thickBot="1" x14ac:dyDescent="0.3">
      <c r="A38" s="19">
        <v>26</v>
      </c>
      <c r="B38" s="16" t="s">
        <v>58</v>
      </c>
      <c r="C38" s="12">
        <v>14.29</v>
      </c>
      <c r="D38" s="12">
        <f>90%*C38</f>
        <v>12.860999999999999</v>
      </c>
      <c r="E38" s="12">
        <f>0.8%*D38</f>
        <v>0.10288799999999999</v>
      </c>
      <c r="F38" s="12"/>
      <c r="G38" s="12">
        <f>2.6%*D38</f>
        <v>0.33438600000000002</v>
      </c>
      <c r="H38" s="12">
        <f t="shared" si="8"/>
        <v>1.749096</v>
      </c>
    </row>
    <row r="39" spans="1:8" s="1" customFormat="1" thickBot="1" x14ac:dyDescent="0.3">
      <c r="A39" s="19">
        <v>27</v>
      </c>
      <c r="B39" s="16" t="s">
        <v>59</v>
      </c>
      <c r="C39" s="12">
        <v>21.43</v>
      </c>
      <c r="D39" s="12">
        <f>90%*C39</f>
        <v>19.286999999999999</v>
      </c>
      <c r="E39" s="12">
        <f>1.11%*D39</f>
        <v>0.21408569999999999</v>
      </c>
      <c r="F39" s="12"/>
      <c r="G39" s="12">
        <f>4.44%*D39</f>
        <v>0.85634279999999996</v>
      </c>
      <c r="H39" s="12">
        <f t="shared" si="8"/>
        <v>4.281714</v>
      </c>
    </row>
    <row r="40" spans="1:8" s="1" customFormat="1" thickBot="1" x14ac:dyDescent="0.3">
      <c r="A40" s="19">
        <v>28</v>
      </c>
      <c r="B40" s="16" t="s">
        <v>51</v>
      </c>
      <c r="C40" s="12">
        <v>18.57</v>
      </c>
      <c r="D40" s="12">
        <f>75%*C40</f>
        <v>13.9275</v>
      </c>
      <c r="E40" s="12">
        <f>1.87%*D40</f>
        <v>0.26044425000000004</v>
      </c>
      <c r="F40" s="12"/>
      <c r="G40" s="12">
        <f>4.15%*D40</f>
        <v>0.57799125000000007</v>
      </c>
      <c r="H40" s="13">
        <f>4*(E40+G40)+9*F40</f>
        <v>3.3537420000000004</v>
      </c>
    </row>
    <row r="41" spans="1:8" s="1" customFormat="1" thickBot="1" x14ac:dyDescent="0.3">
      <c r="A41" s="19">
        <v>29</v>
      </c>
      <c r="B41" s="16" t="s">
        <v>55</v>
      </c>
      <c r="C41" s="12">
        <v>28.57</v>
      </c>
      <c r="D41" s="12">
        <f>70%*C41</f>
        <v>19.998999999999999</v>
      </c>
      <c r="E41" s="12">
        <f>1.3%*D41</f>
        <v>0.25998700000000002</v>
      </c>
      <c r="F41" s="12"/>
      <c r="G41" s="12">
        <f>6.6%*D41</f>
        <v>1.3199339999999999</v>
      </c>
      <c r="H41" s="12">
        <f>4*(E41+G41)+9*F41</f>
        <v>6.3196839999999996</v>
      </c>
    </row>
    <row r="42" spans="1:8" s="1" customFormat="1" thickBot="1" x14ac:dyDescent="0.3">
      <c r="A42" s="19">
        <v>30</v>
      </c>
      <c r="B42" s="3" t="s">
        <v>37</v>
      </c>
      <c r="C42" s="4">
        <v>22.93</v>
      </c>
      <c r="D42" s="5">
        <f>85%*C42</f>
        <v>19.490500000000001</v>
      </c>
      <c r="E42" s="5"/>
      <c r="F42" s="5"/>
      <c r="G42" s="5"/>
      <c r="H42" s="5">
        <f>4*(E42+G42)+9*F42</f>
        <v>0</v>
      </c>
    </row>
    <row r="43" spans="1:8" s="1" customFormat="1" thickBot="1" x14ac:dyDescent="0.3">
      <c r="A43" s="21" t="s">
        <v>38</v>
      </c>
      <c r="B43" s="21"/>
      <c r="C43" s="21"/>
      <c r="D43" s="21"/>
      <c r="E43" s="21"/>
      <c r="F43" s="21"/>
      <c r="G43" s="21"/>
      <c r="H43" s="21"/>
    </row>
    <row r="44" spans="1:8" s="1" customFormat="1" thickBot="1" x14ac:dyDescent="0.3">
      <c r="A44" s="19">
        <v>31</v>
      </c>
      <c r="B44" s="2" t="s">
        <v>39</v>
      </c>
      <c r="C44" s="4">
        <v>147.86000000000001</v>
      </c>
      <c r="D44" s="5">
        <f>86%*C44</f>
        <v>127.15960000000001</v>
      </c>
      <c r="E44" s="5"/>
      <c r="F44" s="5"/>
      <c r="G44" s="5">
        <f>12%*D44</f>
        <v>15.259152</v>
      </c>
      <c r="H44" s="5">
        <f>4*(E44+G44)+9*F44</f>
        <v>61.036608000000001</v>
      </c>
    </row>
    <row r="45" spans="1:8" s="1" customFormat="1" thickBot="1" x14ac:dyDescent="0.3">
      <c r="A45" s="19">
        <v>32</v>
      </c>
      <c r="B45" s="6" t="s">
        <v>40</v>
      </c>
      <c r="C45" s="4">
        <v>8.57</v>
      </c>
      <c r="D45" s="5">
        <f>100%*C45</f>
        <v>8.57</v>
      </c>
      <c r="E45" s="5">
        <f>1.6%*D45</f>
        <v>0.13712000000000002</v>
      </c>
      <c r="F45" s="5"/>
      <c r="G45" s="5">
        <f>40%*D45</f>
        <v>3.4280000000000004</v>
      </c>
      <c r="H45" s="5">
        <f>4*(E45+G45)+9*F45</f>
        <v>14.260480000000001</v>
      </c>
    </row>
    <row r="46" spans="1:8" s="1" customFormat="1" thickBot="1" x14ac:dyDescent="0.3">
      <c r="A46" s="21" t="s">
        <v>41</v>
      </c>
      <c r="B46" s="21"/>
      <c r="C46" s="21"/>
      <c r="D46" s="21"/>
      <c r="E46" s="21"/>
      <c r="F46" s="21"/>
      <c r="G46" s="21"/>
      <c r="H46" s="21"/>
    </row>
    <row r="47" spans="1:8" s="1" customFormat="1" thickBot="1" x14ac:dyDescent="0.3">
      <c r="A47" s="19">
        <v>33</v>
      </c>
      <c r="B47" s="6" t="s">
        <v>42</v>
      </c>
      <c r="C47" s="4">
        <v>1.04</v>
      </c>
      <c r="D47" s="5">
        <f>C47*48</f>
        <v>49.92</v>
      </c>
      <c r="E47" s="5">
        <f>12.7%*D47</f>
        <v>6.3398400000000006</v>
      </c>
      <c r="F47" s="5">
        <f>11.5%*D47</f>
        <v>5.7408000000000001</v>
      </c>
      <c r="G47" s="5"/>
      <c r="H47" s="5">
        <f t="shared" ref="H47:H52" si="9">4*(E47+G47)+9*F47</f>
        <v>77.026560000000003</v>
      </c>
    </row>
    <row r="48" spans="1:8" s="1" customFormat="1" thickBot="1" x14ac:dyDescent="0.3">
      <c r="A48" s="19">
        <v>34</v>
      </c>
      <c r="B48" s="3" t="s">
        <v>43</v>
      </c>
      <c r="C48" s="4">
        <v>47.64</v>
      </c>
      <c r="D48" s="5">
        <f t="shared" ref="D48:D52" si="10">100%*C48</f>
        <v>47.64</v>
      </c>
      <c r="E48" s="5"/>
      <c r="F48" s="5"/>
      <c r="G48" s="5">
        <f>99%*D48</f>
        <v>47.163600000000002</v>
      </c>
      <c r="H48" s="5">
        <f t="shared" si="9"/>
        <v>188.65440000000001</v>
      </c>
    </row>
    <row r="49" spans="1:8" s="1" customFormat="1" thickBot="1" x14ac:dyDescent="0.3">
      <c r="A49" s="19">
        <v>35</v>
      </c>
      <c r="B49" s="3" t="s">
        <v>44</v>
      </c>
      <c r="C49" s="4">
        <v>7.46</v>
      </c>
      <c r="D49" s="5">
        <f t="shared" si="10"/>
        <v>7.46</v>
      </c>
      <c r="E49" s="5"/>
      <c r="F49" s="5"/>
      <c r="G49" s="5"/>
      <c r="H49" s="5">
        <f t="shared" si="9"/>
        <v>0</v>
      </c>
    </row>
    <row r="50" spans="1:8" s="1" customFormat="1" thickBot="1" x14ac:dyDescent="0.3">
      <c r="A50" s="19">
        <v>36</v>
      </c>
      <c r="B50" s="2" t="s">
        <v>45</v>
      </c>
      <c r="C50" s="4">
        <v>1.71</v>
      </c>
      <c r="D50" s="5">
        <f t="shared" si="10"/>
        <v>1.71</v>
      </c>
      <c r="E50" s="5"/>
      <c r="F50" s="5"/>
      <c r="G50" s="5"/>
      <c r="H50" s="5">
        <f t="shared" si="9"/>
        <v>0</v>
      </c>
    </row>
    <row r="51" spans="1:8" s="1" customFormat="1" thickBot="1" x14ac:dyDescent="0.3">
      <c r="A51" s="19">
        <v>37</v>
      </c>
      <c r="B51" s="2" t="s">
        <v>46</v>
      </c>
      <c r="C51" s="4">
        <v>1.1299999999999999</v>
      </c>
      <c r="D51" s="5">
        <f t="shared" si="10"/>
        <v>1.1299999999999999</v>
      </c>
      <c r="E51" s="5">
        <f>20%*D51</f>
        <v>0.22599999999999998</v>
      </c>
      <c r="F51" s="5">
        <f>13%*D51</f>
        <v>0.1469</v>
      </c>
      <c r="G51" s="5">
        <f>26.6%*D51</f>
        <v>0.30058000000000001</v>
      </c>
      <c r="H51" s="5">
        <f t="shared" si="9"/>
        <v>3.42842</v>
      </c>
    </row>
    <row r="52" spans="1:8" s="1" customFormat="1" thickBot="1" x14ac:dyDescent="0.3">
      <c r="A52" s="19">
        <v>38</v>
      </c>
      <c r="B52" s="2" t="s">
        <v>1</v>
      </c>
      <c r="C52" s="12">
        <v>0.5</v>
      </c>
      <c r="D52" s="12">
        <f t="shared" si="10"/>
        <v>0.5</v>
      </c>
      <c r="E52" s="12"/>
      <c r="F52" s="12"/>
      <c r="G52" s="12"/>
      <c r="H52" s="13">
        <f t="shared" si="9"/>
        <v>0</v>
      </c>
    </row>
    <row r="53" spans="1:8" s="1" customFormat="1" thickBot="1" x14ac:dyDescent="0.3">
      <c r="A53" s="19">
        <v>39</v>
      </c>
      <c r="B53" s="2" t="s">
        <v>47</v>
      </c>
      <c r="C53" s="4">
        <v>0.19</v>
      </c>
      <c r="D53" s="5">
        <f>100%*C53</f>
        <v>0.19</v>
      </c>
      <c r="E53" s="5"/>
      <c r="F53" s="5"/>
      <c r="G53" s="5"/>
      <c r="H53" s="5">
        <f>4*(E53+G53)+9*F53</f>
        <v>0</v>
      </c>
    </row>
    <row r="54" spans="1:8" s="1" customFormat="1" thickBot="1" x14ac:dyDescent="0.3">
      <c r="A54" s="19">
        <v>40</v>
      </c>
      <c r="B54" s="2" t="s">
        <v>0</v>
      </c>
      <c r="C54" s="12">
        <v>0.01</v>
      </c>
      <c r="D54" s="12">
        <f t="shared" ref="D54:D55" si="11">100%*C54</f>
        <v>0.01</v>
      </c>
      <c r="E54" s="12"/>
      <c r="F54" s="12"/>
      <c r="G54" s="12"/>
      <c r="H54" s="13">
        <f t="shared" ref="H54:H55" si="12">4*(E54+G54)+9*F54</f>
        <v>0</v>
      </c>
    </row>
    <row r="55" spans="1:8" s="1" customFormat="1" thickBot="1" x14ac:dyDescent="0.3">
      <c r="A55" s="19">
        <v>41</v>
      </c>
      <c r="B55" s="16" t="s">
        <v>57</v>
      </c>
      <c r="C55" s="12">
        <v>19.64</v>
      </c>
      <c r="D55" s="12">
        <f t="shared" si="11"/>
        <v>19.64</v>
      </c>
      <c r="E55" s="12">
        <f>0.3%*D55</f>
        <v>5.892E-2</v>
      </c>
      <c r="F55" s="12"/>
      <c r="G55" s="12">
        <f>82.4%*D55</f>
        <v>16.18336</v>
      </c>
      <c r="H55" s="12">
        <f t="shared" si="12"/>
        <v>64.969120000000004</v>
      </c>
    </row>
    <row r="56" spans="1:8" s="1" customFormat="1" thickBot="1" x14ac:dyDescent="0.3">
      <c r="A56" s="19">
        <v>42</v>
      </c>
      <c r="B56" s="2" t="s">
        <v>48</v>
      </c>
      <c r="C56" s="4">
        <v>3.54</v>
      </c>
      <c r="D56" s="5">
        <f>100%*C56</f>
        <v>3.54</v>
      </c>
      <c r="E56" s="5"/>
      <c r="F56" s="5"/>
      <c r="G56" s="5">
        <f>17.7%*D56</f>
        <v>0.62658000000000003</v>
      </c>
      <c r="H56" s="5">
        <f>4*(E56+G56)+9*F56</f>
        <v>2.5063200000000001</v>
      </c>
    </row>
    <row r="57" spans="1:8" s="1" customFormat="1" ht="16.5" thickBot="1" x14ac:dyDescent="0.35">
      <c r="A57" s="19">
        <v>43</v>
      </c>
      <c r="B57" s="17" t="s">
        <v>56</v>
      </c>
      <c r="C57" s="12">
        <v>4.29</v>
      </c>
      <c r="D57" s="12">
        <f>100%*C57</f>
        <v>4.29</v>
      </c>
      <c r="E57" s="12">
        <f>0.8%*D57</f>
        <v>3.4320000000000003E-2</v>
      </c>
      <c r="F57" s="12"/>
      <c r="G57" s="12">
        <f>9.3%*D57</f>
        <v>0.39897000000000005</v>
      </c>
      <c r="H57" s="12">
        <f>4*(E57+G57)+9*F57</f>
        <v>1.7331600000000003</v>
      </c>
    </row>
    <row r="58" spans="1:8" s="1" customFormat="1" thickBot="1" x14ac:dyDescent="0.3">
      <c r="A58" s="21" t="s">
        <v>49</v>
      </c>
      <c r="B58" s="21"/>
      <c r="C58" s="7">
        <f t="shared" ref="C58:G58" si="13">SUM(C5:C57)</f>
        <v>2219.0100000000002</v>
      </c>
      <c r="D58" s="7">
        <f t="shared" si="13"/>
        <v>2040.6702000000009</v>
      </c>
      <c r="E58" s="7">
        <f t="shared" si="13"/>
        <v>114.68237374999997</v>
      </c>
      <c r="F58" s="7">
        <f t="shared" si="13"/>
        <v>103.6988482</v>
      </c>
      <c r="G58" s="7">
        <f t="shared" si="13"/>
        <v>460.21702385000015</v>
      </c>
      <c r="H58" s="7">
        <f>SUM(H5:H57)</f>
        <v>3232.8872242000007</v>
      </c>
    </row>
    <row r="59" spans="1:8" s="1" customFormat="1" ht="15" x14ac:dyDescent="0.25"/>
    <row r="60" spans="1:8" x14ac:dyDescent="0.3">
      <c r="H60" s="10"/>
    </row>
    <row r="62" spans="1:8" s="1" customFormat="1" x14ac:dyDescent="0.3">
      <c r="A62" s="8"/>
      <c r="B62" s="9"/>
      <c r="C62" s="10"/>
      <c r="D62" s="11"/>
      <c r="E62" s="11"/>
      <c r="F62" s="11"/>
      <c r="G62" s="11"/>
      <c r="H62" s="11"/>
    </row>
  </sheetData>
  <mergeCells count="18">
    <mergeCell ref="A29:H29"/>
    <mergeCell ref="A32:H32"/>
    <mergeCell ref="A43:H43"/>
    <mergeCell ref="A46:H46"/>
    <mergeCell ref="A58:B58"/>
    <mergeCell ref="A1:H1"/>
    <mergeCell ref="A23:H23"/>
    <mergeCell ref="A2:H2"/>
    <mergeCell ref="A3:A4"/>
    <mergeCell ref="B3:B4"/>
    <mergeCell ref="C3:D3"/>
    <mergeCell ref="E3:G3"/>
    <mergeCell ref="H3:H4"/>
    <mergeCell ref="A8:H8"/>
    <mergeCell ref="A10:H10"/>
    <mergeCell ref="A15:H15"/>
    <mergeCell ref="A18:H18"/>
    <mergeCell ref="A21:H21"/>
  </mergeCells>
  <conditionalFormatting sqref="B2:B1048576">
    <cfRule type="duplicateValues" dxfId="0" priority="75"/>
  </conditionalFormatting>
  <pageMargins left="0.7" right="0.7" top="0.75" bottom="0.75" header="0.3" footer="0.3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2019-03-01T12:07:50Z</dcterms:modified>
</cp:coreProperties>
</file>