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2" r:id="rId1"/>
  </sheets>
  <calcPr calcId="152511"/>
</workbook>
</file>

<file path=xl/calcChain.xml><?xml version="1.0" encoding="utf-8"?>
<calcChain xmlns="http://schemas.openxmlformats.org/spreadsheetml/2006/main">
  <c r="D29" i="2" l="1"/>
  <c r="G29" i="2" s="1"/>
  <c r="D57" i="2"/>
  <c r="G57" i="2" s="1"/>
  <c r="D39" i="2"/>
  <c r="G39" i="2" s="1"/>
  <c r="D43" i="2"/>
  <c r="G43" i="2" s="1"/>
  <c r="E29" i="2" l="1"/>
  <c r="F29" i="2"/>
  <c r="E57" i="2"/>
  <c r="H57" i="2" s="1"/>
  <c r="E39" i="2"/>
  <c r="F39" i="2"/>
  <c r="E43" i="2"/>
  <c r="H43" i="2" s="1"/>
  <c r="C60" i="2"/>
  <c r="D42" i="2"/>
  <c r="E42" i="2" s="1"/>
  <c r="D26" i="2"/>
  <c r="F26" i="2" s="1"/>
  <c r="H58" i="2"/>
  <c r="D58" i="2"/>
  <c r="H55" i="2"/>
  <c r="D55" i="2"/>
  <c r="D59" i="2"/>
  <c r="G59" i="2" s="1"/>
  <c r="H59" i="2" s="1"/>
  <c r="H56" i="2"/>
  <c r="D56" i="2"/>
  <c r="D54" i="2"/>
  <c r="G54" i="2" s="1"/>
  <c r="H53" i="2"/>
  <c r="D53" i="2"/>
  <c r="H52" i="2"/>
  <c r="D52" i="2"/>
  <c r="D51" i="2"/>
  <c r="G51" i="2" s="1"/>
  <c r="H51" i="2" s="1"/>
  <c r="D50" i="2"/>
  <c r="F50" i="2" s="1"/>
  <c r="D48" i="2"/>
  <c r="G48" i="2" s="1"/>
  <c r="D47" i="2"/>
  <c r="G47" i="2" s="1"/>
  <c r="H47" i="2" s="1"/>
  <c r="D46" i="2"/>
  <c r="G46" i="2" s="1"/>
  <c r="H46" i="2" s="1"/>
  <c r="H44" i="2"/>
  <c r="D44" i="2"/>
  <c r="H41" i="2"/>
  <c r="D41" i="2"/>
  <c r="D40" i="2"/>
  <c r="G40" i="2" s="1"/>
  <c r="D38" i="2"/>
  <c r="G38" i="2" s="1"/>
  <c r="D37" i="2"/>
  <c r="E37" i="2" s="1"/>
  <c r="D36" i="2"/>
  <c r="E36" i="2" s="1"/>
  <c r="D35" i="2"/>
  <c r="F35" i="2" s="1"/>
  <c r="D33" i="2"/>
  <c r="F33" i="2" s="1"/>
  <c r="H33" i="2" s="1"/>
  <c r="D32" i="2"/>
  <c r="F32" i="2" s="1"/>
  <c r="H32" i="2" s="1"/>
  <c r="D30" i="2"/>
  <c r="E30" i="2" s="1"/>
  <c r="D28" i="2"/>
  <c r="F28" i="2" s="1"/>
  <c r="D27" i="2"/>
  <c r="G27" i="2" s="1"/>
  <c r="G25" i="2"/>
  <c r="D25" i="2"/>
  <c r="E25" i="2" s="1"/>
  <c r="D23" i="2"/>
  <c r="E23" i="2" s="1"/>
  <c r="D21" i="2"/>
  <c r="E21" i="2" s="1"/>
  <c r="D20" i="2"/>
  <c r="E20" i="2" s="1"/>
  <c r="D19" i="2"/>
  <c r="E19" i="2" s="1"/>
  <c r="D17" i="2"/>
  <c r="F17" i="2" s="1"/>
  <c r="D16" i="2"/>
  <c r="G16" i="2" s="1"/>
  <c r="D14" i="2"/>
  <c r="G14" i="2" s="1"/>
  <c r="D13" i="2"/>
  <c r="E13" i="2" s="1"/>
  <c r="D12" i="2"/>
  <c r="F12" i="2" s="1"/>
  <c r="D11" i="2"/>
  <c r="G11" i="2" s="1"/>
  <c r="D9" i="2"/>
  <c r="G9" i="2" s="1"/>
  <c r="D8" i="2"/>
  <c r="E8" i="2" s="1"/>
  <c r="D6" i="2"/>
  <c r="F6" i="2" s="1"/>
  <c r="D5" i="2"/>
  <c r="G5" i="2" s="1"/>
  <c r="H39" i="2" l="1"/>
  <c r="H29" i="2"/>
  <c r="F23" i="2"/>
  <c r="H23" i="2" s="1"/>
  <c r="G42" i="2"/>
  <c r="H42" i="2" s="1"/>
  <c r="E38" i="2"/>
  <c r="H38" i="2" s="1"/>
  <c r="G36" i="2"/>
  <c r="E50" i="2"/>
  <c r="H50" i="2" s="1"/>
  <c r="G37" i="2"/>
  <c r="H37" i="2" s="1"/>
  <c r="E40" i="2"/>
  <c r="H40" i="2" s="1"/>
  <c r="E48" i="2"/>
  <c r="H48" i="2" s="1"/>
  <c r="F54" i="2"/>
  <c r="E11" i="2"/>
  <c r="E14" i="2"/>
  <c r="F19" i="2"/>
  <c r="H19" i="2" s="1"/>
  <c r="F21" i="2"/>
  <c r="E5" i="2"/>
  <c r="E9" i="2"/>
  <c r="F20" i="2"/>
  <c r="H20" i="2" s="1"/>
  <c r="E54" i="2"/>
  <c r="H54" i="2" s="1"/>
  <c r="E26" i="2"/>
  <c r="G8" i="2"/>
  <c r="F25" i="2"/>
  <c r="H25" i="2" s="1"/>
  <c r="F30" i="2"/>
  <c r="H30" i="2" s="1"/>
  <c r="F8" i="2"/>
  <c r="F9" i="2"/>
  <c r="H9" i="2" s="1"/>
  <c r="E16" i="2"/>
  <c r="E27" i="2"/>
  <c r="G26" i="2"/>
  <c r="H36" i="2"/>
  <c r="G21" i="2"/>
  <c r="F14" i="2"/>
  <c r="G13" i="2"/>
  <c r="F13" i="2"/>
  <c r="G12" i="2"/>
  <c r="F5" i="2"/>
  <c r="E6" i="2"/>
  <c r="F11" i="2"/>
  <c r="E12" i="2"/>
  <c r="H12" i="2" s="1"/>
  <c r="F16" i="2"/>
  <c r="E17" i="2"/>
  <c r="F27" i="2"/>
  <c r="E28" i="2"/>
  <c r="E35" i="2"/>
  <c r="D60" i="2"/>
  <c r="G6" i="2"/>
  <c r="G17" i="2"/>
  <c r="G28" i="2"/>
  <c r="G35" i="2"/>
  <c r="H14" i="2" l="1"/>
  <c r="H11" i="2"/>
  <c r="H21" i="2"/>
  <c r="H26" i="2"/>
  <c r="H8" i="2"/>
  <c r="H13" i="2"/>
  <c r="H27" i="2"/>
  <c r="H28" i="2"/>
  <c r="H16" i="2"/>
  <c r="H35" i="2"/>
  <c r="G60" i="2"/>
  <c r="F60" i="2"/>
  <c r="E60" i="2"/>
  <c r="H17" i="2"/>
  <c r="H6" i="2"/>
  <c r="H5" i="2"/>
  <c r="H60" i="2" s="1"/>
</calcChain>
</file>

<file path=xl/sharedStrings.xml><?xml version="1.0" encoding="utf-8"?>
<sst xmlns="http://schemas.openxmlformats.org/spreadsheetml/2006/main" count="68" uniqueCount="68">
  <si>
    <t>ვანილი</t>
  </si>
  <si>
    <t>საფუარი</t>
  </si>
  <si>
    <t>კვების პროდუქტი</t>
  </si>
  <si>
    <t>რაოდენობა, გ</t>
  </si>
  <si>
    <t>ქიმიური შემადგენლობა, გ</t>
  </si>
  <si>
    <t>ენერგეტიკული ღირებულება, კკალ</t>
  </si>
  <si>
    <t>ბრუტო</t>
  </si>
  <si>
    <t>ნეტო</t>
  </si>
  <si>
    <t>ცილები</t>
  </si>
  <si>
    <t>ცხიმები</t>
  </si>
  <si>
    <t>ნახშირწყლები</t>
  </si>
  <si>
    <t>ხორბლის პური</t>
  </si>
  <si>
    <t>პარკოსნები</t>
  </si>
  <si>
    <t>ლობიო</t>
  </si>
  <si>
    <t>ბარდა</t>
  </si>
  <si>
    <t>ბურღულეული</t>
  </si>
  <si>
    <t>მანანის ბურღული</t>
  </si>
  <si>
    <t>წიწიბურა</t>
  </si>
  <si>
    <t>ბრინჯი</t>
  </si>
  <si>
    <t>მაკარონის ნაწარმი</t>
  </si>
  <si>
    <t>მაკარონი</t>
  </si>
  <si>
    <t>ვერმიშელი</t>
  </si>
  <si>
    <t>ხორცი და ხორცის პროდუქტები</t>
  </si>
  <si>
    <t>ქათმის ხორცი</t>
  </si>
  <si>
    <t>სოსისი</t>
  </si>
  <si>
    <t>თევზეული</t>
  </si>
  <si>
    <t>თევზის ფილე</t>
  </si>
  <si>
    <t>რძე და რძის პროდუქტები</t>
  </si>
  <si>
    <t>შესქელ. რძე</t>
  </si>
  <si>
    <t>მაწონი</t>
  </si>
  <si>
    <t>ხაჭო</t>
  </si>
  <si>
    <t>ყველი</t>
  </si>
  <si>
    <t>ცხიმი</t>
  </si>
  <si>
    <t>მცენარეული ცხიმები (ზეთები)</t>
  </si>
  <si>
    <t>ცხოველური ცხიმები</t>
  </si>
  <si>
    <t>ბოსტნეული</t>
  </si>
  <si>
    <t>კარტოფილი</t>
  </si>
  <si>
    <t>კომბოსტო</t>
  </si>
  <si>
    <t>ჭარხალი</t>
  </si>
  <si>
    <t>სტაფილო</t>
  </si>
  <si>
    <t>ხახვი</t>
  </si>
  <si>
    <t>ნიორი</t>
  </si>
  <si>
    <t>მწვანილი</t>
  </si>
  <si>
    <t>ხილი</t>
  </si>
  <si>
    <t>ხილი (სხვადასხვა)</t>
  </si>
  <si>
    <t>ხილფაფა</t>
  </si>
  <si>
    <t>ხმელი ხილი (ჩირი, ასკილი)</t>
  </si>
  <si>
    <t>სხვა</t>
  </si>
  <si>
    <t>კვერცხი (ცალობით)</t>
  </si>
  <si>
    <t>შაქარი</t>
  </si>
  <si>
    <t>მარილი</t>
  </si>
  <si>
    <t>ჩაი</t>
  </si>
  <si>
    <t>კაკაო</t>
  </si>
  <si>
    <t>სანელებლები</t>
  </si>
  <si>
    <t>ტომატ-პასტა</t>
  </si>
  <si>
    <t>სულ</t>
  </si>
  <si>
    <t>რძე</t>
  </si>
  <si>
    <t>ბულგარული წიწაკა</t>
  </si>
  <si>
    <t>პომიდორი</t>
  </si>
  <si>
    <t>ლიმონი</t>
  </si>
  <si>
    <t>ყვავილოვანი კომბოსტო</t>
  </si>
  <si>
    <t>არაჟანი 10%</t>
  </si>
  <si>
    <t>დანართი №15.2</t>
  </si>
  <si>
    <t>ქალთა სპეციალურ დაწესებულებაში მყოფ ბრალდებულ/მსჯავრდებულ ქალთა დღიურ რაციონში შემავალი პროდუქტების ჩამონათვალი და ენერგეტიკული ღირებულება (შემოდგომა-ზამთარი)</t>
  </si>
  <si>
    <t>ხორბ. ფქვილი I ხარისხის</t>
  </si>
  <si>
    <t>საქონლის ხორცი (I კატეგორიის)</t>
  </si>
  <si>
    <t>შვრიის ფანტელი, ე.წ. "ჰერკულესი"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</si>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</sst>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Sylfaen"/>
      <family val="1"/>
    </font>
    <font>
      <sz val="10"/>
      <color theme="1"/>
      <name val="Sylfaen"/>
      <family val="1"/>
    </font>
    <font>
      <b/>
      <sz val="10"/>
      <color theme="1"/>
      <name val="Sylfaen"/>
      <family val="1"/>
    </font>
    <font>
      <sz val="10"/>
      <name val="Sylfaen"/>
      <family val="1"/>
    </font>
    <font>
      <b/>
      <sz val="10"/>
      <color theme="1"/>
      <name val="AcadMtavr"/>
    </font>
    <font>
      <b/>
      <sz val="10"/>
      <color theme="1"/>
      <name val="Calibri"/>
      <family val="2"/>
      <scheme val="minor"/>
    </font>
    <font>
      <b/>
      <sz val="10"/>
      <color theme="1"/>
      <name val="AcadNusx"/>
    </font>
    <font>
      <b/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9">
    <xf numFmtId="0" fontId="0" fillId="0" borderId="0" xfId="0"/>
    <xf numFmtId="0" fontId="0" fillId="0" borderId="0" xfId="0" applyFill="1"/>
    <xf numFmtId="0" fontId="4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2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2" fontId="6" fillId="0" borderId="1" xfId="1" applyNumberFormat="1" applyFont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abSelected="1" view="pageBreakPreview" zoomScaleNormal="100" zoomScaleSheetLayoutView="100" workbookViewId="0">
      <selection activeCell="A3" sqref="A3:A4"/>
    </sheetView>
  </sheetViews>
  <sheetFormatPr defaultRowHeight="15.75" x14ac:dyDescent="0.3"/>
  <cols>
    <col min="1" max="1" width="9.140625" style="9"/>
    <col min="2" max="2" width="26.140625" style="10" customWidth="1"/>
    <col min="3" max="3" width="9.28515625" style="12" bestFit="1" customWidth="1"/>
    <col min="4" max="4" width="9.5703125" style="12" bestFit="1" customWidth="1"/>
    <col min="5" max="5" width="10.42578125" style="12" customWidth="1"/>
    <col min="6" max="6" width="10" style="12" customWidth="1"/>
    <col min="7" max="7" width="15.85546875" style="12" customWidth="1"/>
    <col min="8" max="8" width="19" style="12" customWidth="1"/>
    <col min="9" max="9" width="9.140625" style="1"/>
  </cols>
  <sheetData>
    <row r="1" spans="1:8" thickBot="1" x14ac:dyDescent="0.3">
      <c r="A1" s="21" t="s">
        <v>62</v>
      </c>
      <c r="B1" s="21"/>
      <c r="C1" s="21"/>
      <c r="D1" s="21"/>
      <c r="E1" s="21"/>
      <c r="F1" s="21"/>
      <c r="G1" s="21"/>
      <c r="H1" s="21"/>
    </row>
    <row r="2" spans="1:8" ht="81.75" customHeight="1" thickBot="1" x14ac:dyDescent="0.3">
      <c r="A2" s="23" t="s">
        <v>63</v>
      </c>
      <c r="B2" s="23"/>
      <c r="C2" s="23"/>
      <c r="D2" s="23"/>
      <c r="E2" s="23"/>
      <c r="F2" s="23"/>
      <c r="G2" s="23"/>
      <c r="H2" s="23"/>
    </row>
    <row r="3" spans="1:8" ht="24" customHeight="1" thickBot="1" x14ac:dyDescent="0.3">
      <c r="A3" s="28" t="s">
        <v>67</v>
      </c>
      <c r="B3" s="25" t="s">
        <v>2</v>
      </c>
      <c r="C3" s="26" t="s">
        <v>3</v>
      </c>
      <c r="D3" s="26"/>
      <c r="E3" s="26" t="s">
        <v>4</v>
      </c>
      <c r="F3" s="26"/>
      <c r="G3" s="26"/>
      <c r="H3" s="27" t="s">
        <v>5</v>
      </c>
    </row>
    <row r="4" spans="1:8" ht="24.75" customHeight="1" thickBot="1" x14ac:dyDescent="0.3">
      <c r="A4" s="24"/>
      <c r="B4" s="25"/>
      <c r="C4" s="19" t="s">
        <v>6</v>
      </c>
      <c r="D4" s="19" t="s">
        <v>7</v>
      </c>
      <c r="E4" s="19" t="s">
        <v>8</v>
      </c>
      <c r="F4" s="19" t="s">
        <v>9</v>
      </c>
      <c r="G4" s="19" t="s">
        <v>10</v>
      </c>
      <c r="H4" s="27"/>
    </row>
    <row r="5" spans="1:8" thickBot="1" x14ac:dyDescent="0.3">
      <c r="A5" s="20">
        <v>1</v>
      </c>
      <c r="B5" s="2" t="s">
        <v>11</v>
      </c>
      <c r="C5" s="3">
        <v>500</v>
      </c>
      <c r="D5" s="3">
        <f>C5*100%</f>
        <v>500</v>
      </c>
      <c r="E5" s="3">
        <f>D5*7.9%</f>
        <v>39.5</v>
      </c>
      <c r="F5" s="3">
        <f>D5*1%</f>
        <v>5</v>
      </c>
      <c r="G5" s="3">
        <f>D5*49.6%</f>
        <v>248</v>
      </c>
      <c r="H5" s="3">
        <f>4*(E5+G5)+9*F5</f>
        <v>1195</v>
      </c>
    </row>
    <row r="6" spans="1:8" thickBot="1" x14ac:dyDescent="0.3">
      <c r="A6" s="20">
        <v>2</v>
      </c>
      <c r="B6" s="4" t="s">
        <v>64</v>
      </c>
      <c r="C6" s="5">
        <v>15.93</v>
      </c>
      <c r="D6" s="5">
        <f>C6*100%</f>
        <v>15.93</v>
      </c>
      <c r="E6" s="5">
        <f>D6*10%</f>
        <v>1.593</v>
      </c>
      <c r="F6" s="5">
        <f>D6*1.3%</f>
        <v>0.20709000000000002</v>
      </c>
      <c r="G6" s="5">
        <f>D6*69%</f>
        <v>10.9917</v>
      </c>
      <c r="H6" s="6">
        <f t="shared" ref="H6" si="0">4*(E6+G6)+9*F6</f>
        <v>52.20261</v>
      </c>
    </row>
    <row r="7" spans="1:8" ht="16.5" customHeight="1" thickBot="1" x14ac:dyDescent="0.3">
      <c r="A7" s="22" t="s">
        <v>12</v>
      </c>
      <c r="B7" s="22"/>
      <c r="C7" s="22"/>
      <c r="D7" s="22"/>
      <c r="E7" s="22"/>
      <c r="F7" s="22"/>
      <c r="G7" s="22"/>
      <c r="H7" s="22"/>
    </row>
    <row r="8" spans="1:8" thickBot="1" x14ac:dyDescent="0.3">
      <c r="A8" s="20">
        <v>3</v>
      </c>
      <c r="B8" s="4" t="s">
        <v>13</v>
      </c>
      <c r="C8" s="5">
        <v>34.29</v>
      </c>
      <c r="D8" s="6">
        <f t="shared" ref="D8:D9" si="1">C8*100%</f>
        <v>34.29</v>
      </c>
      <c r="E8" s="6">
        <f>D8*20.8%</f>
        <v>7.1323200000000009</v>
      </c>
      <c r="F8" s="6">
        <f>D8*2%</f>
        <v>0.68579999999999997</v>
      </c>
      <c r="G8" s="6">
        <f>D8*46.6%</f>
        <v>15.979140000000001</v>
      </c>
      <c r="H8" s="6">
        <f t="shared" ref="H8:H9" si="2">4*(E8+G8)+9*F8</f>
        <v>98.618040000000008</v>
      </c>
    </row>
    <row r="9" spans="1:8" thickBot="1" x14ac:dyDescent="0.3">
      <c r="A9" s="20">
        <v>4</v>
      </c>
      <c r="B9" s="4" t="s">
        <v>14</v>
      </c>
      <c r="C9" s="5">
        <v>10</v>
      </c>
      <c r="D9" s="6">
        <f t="shared" si="1"/>
        <v>10</v>
      </c>
      <c r="E9" s="6">
        <f>D9*20%</f>
        <v>2</v>
      </c>
      <c r="F9" s="6">
        <f>D9*2%</f>
        <v>0.2</v>
      </c>
      <c r="G9" s="6">
        <f>D9*48%</f>
        <v>4.8</v>
      </c>
      <c r="H9" s="6">
        <f t="shared" si="2"/>
        <v>29</v>
      </c>
    </row>
    <row r="10" spans="1:8" ht="16.5" customHeight="1" thickBot="1" x14ac:dyDescent="0.3">
      <c r="A10" s="22" t="s">
        <v>15</v>
      </c>
      <c r="B10" s="22"/>
      <c r="C10" s="22"/>
      <c r="D10" s="22"/>
      <c r="E10" s="22"/>
      <c r="F10" s="22"/>
      <c r="G10" s="22"/>
      <c r="H10" s="22"/>
    </row>
    <row r="11" spans="1:8" thickBot="1" x14ac:dyDescent="0.3">
      <c r="A11" s="20">
        <v>5</v>
      </c>
      <c r="B11" s="4" t="s">
        <v>16</v>
      </c>
      <c r="C11" s="5">
        <v>18.43</v>
      </c>
      <c r="D11" s="6">
        <f t="shared" ref="D11:D14" si="3">C11*100%</f>
        <v>18.43</v>
      </c>
      <c r="E11" s="6">
        <f>D11*11.25%</f>
        <v>2.073375</v>
      </c>
      <c r="F11" s="6">
        <f>0.87%*D11</f>
        <v>0.16034099999999998</v>
      </c>
      <c r="G11" s="6">
        <f>67.7%*D11</f>
        <v>12.477110000000001</v>
      </c>
      <c r="H11" s="6">
        <f t="shared" ref="H11:H14" si="4">4*(E11+G11)+9*F11</f>
        <v>59.645009000000009</v>
      </c>
    </row>
    <row r="12" spans="1:8" thickBot="1" x14ac:dyDescent="0.3">
      <c r="A12" s="20">
        <v>6</v>
      </c>
      <c r="B12" s="4" t="s">
        <v>17</v>
      </c>
      <c r="C12" s="5">
        <v>27.14</v>
      </c>
      <c r="D12" s="6">
        <f t="shared" si="3"/>
        <v>27.14</v>
      </c>
      <c r="E12" s="6">
        <f>10.78%*D12</f>
        <v>2.9256919999999997</v>
      </c>
      <c r="F12" s="6">
        <f>3.14%*D12</f>
        <v>0.85219600000000018</v>
      </c>
      <c r="G12" s="6">
        <f>55.9%*D12</f>
        <v>15.171259999999998</v>
      </c>
      <c r="H12" s="6">
        <f t="shared" si="4"/>
        <v>80.057571999999993</v>
      </c>
    </row>
    <row r="13" spans="1:8" thickBot="1" x14ac:dyDescent="0.3">
      <c r="A13" s="20">
        <v>7</v>
      </c>
      <c r="B13" s="4" t="s">
        <v>18</v>
      </c>
      <c r="C13" s="5">
        <v>27.5</v>
      </c>
      <c r="D13" s="6">
        <f t="shared" si="3"/>
        <v>27.5</v>
      </c>
      <c r="E13" s="6">
        <f>7.4%*D13</f>
        <v>2.0350000000000001</v>
      </c>
      <c r="F13" s="6">
        <f>3.14%*D13</f>
        <v>0.86350000000000016</v>
      </c>
      <c r="G13" s="6">
        <f>62.3%*D13</f>
        <v>17.1325</v>
      </c>
      <c r="H13" s="6">
        <f t="shared" si="4"/>
        <v>84.441500000000005</v>
      </c>
    </row>
    <row r="14" spans="1:8" ht="30.75" thickBot="1" x14ac:dyDescent="0.3">
      <c r="A14" s="20">
        <v>8</v>
      </c>
      <c r="B14" s="2" t="s">
        <v>66</v>
      </c>
      <c r="C14" s="5">
        <v>20</v>
      </c>
      <c r="D14" s="6">
        <f t="shared" si="3"/>
        <v>20</v>
      </c>
      <c r="E14" s="6">
        <f>12%*D14</f>
        <v>2.4</v>
      </c>
      <c r="F14" s="6">
        <f>6.2%*D14</f>
        <v>1.24</v>
      </c>
      <c r="G14" s="6">
        <f>62%*D14</f>
        <v>12.4</v>
      </c>
      <c r="H14" s="6">
        <f t="shared" si="4"/>
        <v>70.36</v>
      </c>
    </row>
    <row r="15" spans="1:8" ht="16.5" customHeight="1" thickBot="1" x14ac:dyDescent="0.3">
      <c r="A15" s="22" t="s">
        <v>19</v>
      </c>
      <c r="B15" s="22"/>
      <c r="C15" s="22"/>
      <c r="D15" s="22"/>
      <c r="E15" s="22"/>
      <c r="F15" s="22"/>
      <c r="G15" s="22"/>
      <c r="H15" s="22"/>
    </row>
    <row r="16" spans="1:8" thickBot="1" x14ac:dyDescent="0.3">
      <c r="A16" s="20">
        <v>9</v>
      </c>
      <c r="B16" s="4" t="s">
        <v>20</v>
      </c>
      <c r="C16" s="5">
        <v>19.29</v>
      </c>
      <c r="D16" s="6">
        <f t="shared" ref="D16:D17" si="5">C16*100%</f>
        <v>19.29</v>
      </c>
      <c r="E16" s="6">
        <f>9.15%*D16</f>
        <v>1.7650349999999999</v>
      </c>
      <c r="F16" s="6">
        <f>0.8%*D16</f>
        <v>0.15431999999999998</v>
      </c>
      <c r="G16" s="6">
        <f>60%*D16</f>
        <v>11.574</v>
      </c>
      <c r="H16" s="6">
        <f>4*(E16+G16)+9*F16</f>
        <v>54.745019999999997</v>
      </c>
    </row>
    <row r="17" spans="1:8" thickBot="1" x14ac:dyDescent="0.3">
      <c r="A17" s="20">
        <v>10</v>
      </c>
      <c r="B17" s="4" t="s">
        <v>21</v>
      </c>
      <c r="C17" s="5">
        <v>11.43</v>
      </c>
      <c r="D17" s="6">
        <f t="shared" si="5"/>
        <v>11.43</v>
      </c>
      <c r="E17" s="6">
        <f>9.09%*D17</f>
        <v>1.0389869999999999</v>
      </c>
      <c r="F17" s="6">
        <f>0.9%*D17</f>
        <v>0.10287</v>
      </c>
      <c r="G17" s="6">
        <f>63.6%*D17</f>
        <v>7.2694799999999997</v>
      </c>
      <c r="H17" s="6">
        <f>4*(E17+G17)+9*F17</f>
        <v>34.159697999999999</v>
      </c>
    </row>
    <row r="18" spans="1:8" ht="16.5" customHeight="1" thickBot="1" x14ac:dyDescent="0.3">
      <c r="A18" s="22" t="s">
        <v>22</v>
      </c>
      <c r="B18" s="22"/>
      <c r="C18" s="22"/>
      <c r="D18" s="22"/>
      <c r="E18" s="22"/>
      <c r="F18" s="22"/>
      <c r="G18" s="22"/>
      <c r="H18" s="22"/>
    </row>
    <row r="19" spans="1:8" ht="30.75" thickBot="1" x14ac:dyDescent="0.3">
      <c r="A19" s="20">
        <v>11</v>
      </c>
      <c r="B19" s="4" t="s">
        <v>65</v>
      </c>
      <c r="C19" s="5">
        <v>35</v>
      </c>
      <c r="D19" s="6">
        <f>C19*75%</f>
        <v>26.25</v>
      </c>
      <c r="E19" s="6">
        <f>18.6%*D19</f>
        <v>4.8825000000000003</v>
      </c>
      <c r="F19" s="6">
        <f>17.3%*D19</f>
        <v>4.5412500000000007</v>
      </c>
      <c r="G19" s="6"/>
      <c r="H19" s="6">
        <f>4*(E19+G19)+9*F19</f>
        <v>60.401250000000005</v>
      </c>
    </row>
    <row r="20" spans="1:8" thickBot="1" x14ac:dyDescent="0.3">
      <c r="A20" s="20">
        <v>12</v>
      </c>
      <c r="B20" s="4" t="s">
        <v>23</v>
      </c>
      <c r="C20" s="5">
        <v>60</v>
      </c>
      <c r="D20" s="6">
        <f>C20*72%</f>
        <v>43.199999999999996</v>
      </c>
      <c r="E20" s="6">
        <f>18.5%*D20</f>
        <v>7.9919999999999991</v>
      </c>
      <c r="F20" s="6">
        <f>15.9%*D20</f>
        <v>6.8687999999999994</v>
      </c>
      <c r="G20" s="6"/>
      <c r="H20" s="6">
        <f>4*(E20+G20)+9*F20</f>
        <v>93.787199999999984</v>
      </c>
    </row>
    <row r="21" spans="1:8" thickBot="1" x14ac:dyDescent="0.3">
      <c r="A21" s="20">
        <v>13</v>
      </c>
      <c r="B21" s="4" t="s">
        <v>24</v>
      </c>
      <c r="C21" s="5">
        <v>22.8</v>
      </c>
      <c r="D21" s="6">
        <f>100%*C21</f>
        <v>22.8</v>
      </c>
      <c r="E21" s="6">
        <f>11.8%*D21</f>
        <v>2.6904000000000003</v>
      </c>
      <c r="F21" s="6">
        <f>20.1%*D21</f>
        <v>4.5828000000000007</v>
      </c>
      <c r="G21" s="6">
        <f>0.87%*D21</f>
        <v>0.19835999999999998</v>
      </c>
      <c r="H21" s="6">
        <f>4*(E21+G21)+9*F21</f>
        <v>52.800240000000002</v>
      </c>
    </row>
    <row r="22" spans="1:8" ht="15.75" customHeight="1" thickBot="1" x14ac:dyDescent="0.3">
      <c r="A22" s="22" t="s">
        <v>25</v>
      </c>
      <c r="B22" s="22"/>
      <c r="C22" s="22"/>
      <c r="D22" s="22"/>
      <c r="E22" s="22"/>
      <c r="F22" s="22"/>
      <c r="G22" s="22"/>
      <c r="H22" s="22"/>
    </row>
    <row r="23" spans="1:8" thickBot="1" x14ac:dyDescent="0.3">
      <c r="A23" s="20">
        <v>14</v>
      </c>
      <c r="B23" s="4" t="s">
        <v>26</v>
      </c>
      <c r="C23" s="5">
        <v>40</v>
      </c>
      <c r="D23" s="6">
        <f>92%*C23</f>
        <v>36.800000000000004</v>
      </c>
      <c r="E23" s="6">
        <f>15.48%*D23</f>
        <v>5.6966400000000004</v>
      </c>
      <c r="F23" s="6">
        <f>8.69%*D23</f>
        <v>3.1979199999999999</v>
      </c>
      <c r="G23" s="6"/>
      <c r="H23" s="6">
        <f>4*(E23+G23)+9*F23</f>
        <v>51.567840000000004</v>
      </c>
    </row>
    <row r="24" spans="1:8" ht="16.5" customHeight="1" thickBot="1" x14ac:dyDescent="0.3">
      <c r="A24" s="22" t="s">
        <v>27</v>
      </c>
      <c r="B24" s="22"/>
      <c r="C24" s="22"/>
      <c r="D24" s="22"/>
      <c r="E24" s="22"/>
      <c r="F24" s="22"/>
      <c r="G24" s="22"/>
      <c r="H24" s="22"/>
    </row>
    <row r="25" spans="1:8" s="1" customFormat="1" thickBot="1" x14ac:dyDescent="0.3">
      <c r="A25" s="20">
        <v>15</v>
      </c>
      <c r="B25" s="4" t="s">
        <v>28</v>
      </c>
      <c r="C25" s="5">
        <v>43.46</v>
      </c>
      <c r="D25" s="6">
        <f t="shared" ref="D25:D29" si="6">100%*C25</f>
        <v>43.46</v>
      </c>
      <c r="E25" s="6">
        <f>6.97%*D25</f>
        <v>3.0291619999999999</v>
      </c>
      <c r="F25" s="6">
        <f>8.13%*D25</f>
        <v>3.5332980000000007</v>
      </c>
      <c r="G25" s="6">
        <f>9.8%*C25</f>
        <v>4.25908</v>
      </c>
      <c r="H25" s="6">
        <f t="shared" ref="H25:H29" si="7">4*(E25+G25)+9*F25</f>
        <v>60.952650000000006</v>
      </c>
    </row>
    <row r="26" spans="1:8" s="1" customFormat="1" thickBot="1" x14ac:dyDescent="0.3">
      <c r="A26" s="20">
        <v>16</v>
      </c>
      <c r="B26" s="4" t="s">
        <v>56</v>
      </c>
      <c r="C26" s="13">
        <v>7.14</v>
      </c>
      <c r="D26" s="13">
        <f t="shared" si="6"/>
        <v>7.14</v>
      </c>
      <c r="E26" s="13">
        <f>2.8%*D26</f>
        <v>0.19991999999999996</v>
      </c>
      <c r="F26" s="13">
        <f>3.2%*D26</f>
        <v>0.22847999999999999</v>
      </c>
      <c r="G26" s="13">
        <f>4.7%*D26</f>
        <v>0.33557999999999999</v>
      </c>
      <c r="H26" s="14">
        <f t="shared" si="7"/>
        <v>4.1983199999999998</v>
      </c>
    </row>
    <row r="27" spans="1:8" s="1" customFormat="1" thickBot="1" x14ac:dyDescent="0.3">
      <c r="A27" s="20">
        <v>17</v>
      </c>
      <c r="B27" s="4" t="s">
        <v>29</v>
      </c>
      <c r="C27" s="5">
        <v>52.71</v>
      </c>
      <c r="D27" s="6">
        <f t="shared" si="6"/>
        <v>52.71</v>
      </c>
      <c r="E27" s="6">
        <f>2.8%*D27</f>
        <v>1.4758799999999999</v>
      </c>
      <c r="F27" s="6">
        <f>3.2%*D27</f>
        <v>1.68672</v>
      </c>
      <c r="G27" s="6">
        <f>4.7%*D27</f>
        <v>2.4773700000000001</v>
      </c>
      <c r="H27" s="6">
        <f t="shared" si="7"/>
        <v>30.993479999999998</v>
      </c>
    </row>
    <row r="28" spans="1:8" s="1" customFormat="1" thickBot="1" x14ac:dyDescent="0.3">
      <c r="A28" s="20">
        <v>18</v>
      </c>
      <c r="B28" s="4" t="s">
        <v>30</v>
      </c>
      <c r="C28" s="5">
        <v>25.25</v>
      </c>
      <c r="D28" s="6">
        <f t="shared" si="6"/>
        <v>25.25</v>
      </c>
      <c r="E28" s="6">
        <f>10%*D28</f>
        <v>2.5250000000000004</v>
      </c>
      <c r="F28" s="6">
        <f>20%*D28</f>
        <v>5.0500000000000007</v>
      </c>
      <c r="G28" s="6">
        <f>2.8%*D28</f>
        <v>0.70699999999999996</v>
      </c>
      <c r="H28" s="6">
        <f t="shared" si="7"/>
        <v>58.378</v>
      </c>
    </row>
    <row r="29" spans="1:8" s="1" customFormat="1" thickBot="1" x14ac:dyDescent="0.3">
      <c r="A29" s="20">
        <v>19</v>
      </c>
      <c r="B29" s="4" t="s">
        <v>61</v>
      </c>
      <c r="C29" s="15">
        <v>33.93</v>
      </c>
      <c r="D29" s="15">
        <f t="shared" si="6"/>
        <v>33.93</v>
      </c>
      <c r="E29" s="15">
        <f>2.6%*D29</f>
        <v>0.88218000000000008</v>
      </c>
      <c r="F29" s="15">
        <f>10%*D29</f>
        <v>3.3930000000000002</v>
      </c>
      <c r="G29" s="15">
        <f>3.8%*D29</f>
        <v>1.2893399999999999</v>
      </c>
      <c r="H29" s="16">
        <f t="shared" si="7"/>
        <v>39.223080000000003</v>
      </c>
    </row>
    <row r="30" spans="1:8" s="1" customFormat="1" thickBot="1" x14ac:dyDescent="0.3">
      <c r="A30" s="20">
        <v>20</v>
      </c>
      <c r="B30" s="2" t="s">
        <v>31</v>
      </c>
      <c r="C30" s="5">
        <v>12</v>
      </c>
      <c r="D30" s="6">
        <f>80%*C30</f>
        <v>9.6000000000000014</v>
      </c>
      <c r="E30" s="6">
        <f>17.9%*D30</f>
        <v>1.7184000000000001</v>
      </c>
      <c r="F30" s="6">
        <f>14.3%*D30</f>
        <v>1.3728000000000005</v>
      </c>
      <c r="G30" s="6"/>
      <c r="H30" s="6">
        <f>4*(E30+G30)+9*F30</f>
        <v>19.228800000000003</v>
      </c>
    </row>
    <row r="31" spans="1:8" s="1" customFormat="1" thickBot="1" x14ac:dyDescent="0.3">
      <c r="A31" s="22" t="s">
        <v>32</v>
      </c>
      <c r="B31" s="22"/>
      <c r="C31" s="22"/>
      <c r="D31" s="22"/>
      <c r="E31" s="22"/>
      <c r="F31" s="22"/>
      <c r="G31" s="22"/>
      <c r="H31" s="22"/>
    </row>
    <row r="32" spans="1:8" s="1" customFormat="1" ht="30.75" thickBot="1" x14ac:dyDescent="0.3">
      <c r="A32" s="20">
        <v>21</v>
      </c>
      <c r="B32" s="2" t="s">
        <v>33</v>
      </c>
      <c r="C32" s="5">
        <v>13.93</v>
      </c>
      <c r="D32" s="6">
        <f>100%*C32</f>
        <v>13.93</v>
      </c>
      <c r="E32" s="6"/>
      <c r="F32" s="6">
        <f>99.9%*D32</f>
        <v>13.916070000000001</v>
      </c>
      <c r="G32" s="6"/>
      <c r="H32" s="6">
        <f>4*(E32+G32)+9*F32</f>
        <v>125.24463000000002</v>
      </c>
    </row>
    <row r="33" spans="1:8" s="1" customFormat="1" thickBot="1" x14ac:dyDescent="0.3">
      <c r="A33" s="20">
        <v>22</v>
      </c>
      <c r="B33" s="2" t="s">
        <v>34</v>
      </c>
      <c r="C33" s="5">
        <v>36.86</v>
      </c>
      <c r="D33" s="6">
        <f>100%*C33</f>
        <v>36.86</v>
      </c>
      <c r="E33" s="6"/>
      <c r="F33" s="6">
        <f>72.57%*D33</f>
        <v>26.749301999999997</v>
      </c>
      <c r="G33" s="6"/>
      <c r="H33" s="6">
        <f>4*(E33+G33)+9*F33</f>
        <v>240.74371799999997</v>
      </c>
    </row>
    <row r="34" spans="1:8" s="1" customFormat="1" ht="16.5" customHeight="1" thickBot="1" x14ac:dyDescent="0.3">
      <c r="A34" s="22" t="s">
        <v>35</v>
      </c>
      <c r="B34" s="22"/>
      <c r="C34" s="22"/>
      <c r="D34" s="22"/>
      <c r="E34" s="22"/>
      <c r="F34" s="22"/>
      <c r="G34" s="22"/>
      <c r="H34" s="22"/>
    </row>
    <row r="35" spans="1:8" s="1" customFormat="1" thickBot="1" x14ac:dyDescent="0.3">
      <c r="A35" s="20">
        <v>23</v>
      </c>
      <c r="B35" s="4" t="s">
        <v>36</v>
      </c>
      <c r="C35" s="5">
        <v>245.71</v>
      </c>
      <c r="D35" s="6">
        <f>72%*C35</f>
        <v>176.91120000000001</v>
      </c>
      <c r="E35" s="6">
        <f>2.1%*D35</f>
        <v>3.7151352000000002</v>
      </c>
      <c r="F35" s="6">
        <f>0.4%*D35</f>
        <v>0.70764480000000007</v>
      </c>
      <c r="G35" s="6">
        <f>15.6%*D35</f>
        <v>27.5981472</v>
      </c>
      <c r="H35" s="6">
        <f>4*(E35+G35)+9*F35</f>
        <v>131.6219328</v>
      </c>
    </row>
    <row r="36" spans="1:8" s="1" customFormat="1" thickBot="1" x14ac:dyDescent="0.3">
      <c r="A36" s="20">
        <v>24</v>
      </c>
      <c r="B36" s="4" t="s">
        <v>37</v>
      </c>
      <c r="C36" s="5">
        <v>104.29</v>
      </c>
      <c r="D36" s="6">
        <f>75%*C36</f>
        <v>78.217500000000001</v>
      </c>
      <c r="E36" s="6">
        <f>1.87%*D36</f>
        <v>1.4626672500000002</v>
      </c>
      <c r="F36" s="6"/>
      <c r="G36" s="6">
        <f>4.16%*D36</f>
        <v>3.2538480000000001</v>
      </c>
      <c r="H36" s="6">
        <f>4*(E36+G36)+9*F36</f>
        <v>18.866061000000002</v>
      </c>
    </row>
    <row r="37" spans="1:8" s="1" customFormat="1" thickBot="1" x14ac:dyDescent="0.3">
      <c r="A37" s="20">
        <v>25</v>
      </c>
      <c r="B37" s="4" t="s">
        <v>38</v>
      </c>
      <c r="C37" s="5">
        <v>33.57</v>
      </c>
      <c r="D37" s="6">
        <f>90%*C37</f>
        <v>30.213000000000001</v>
      </c>
      <c r="E37" s="6">
        <f>1.66%*D37</f>
        <v>0.50153579999999998</v>
      </c>
      <c r="F37" s="6"/>
      <c r="G37" s="6">
        <f>10%*D37</f>
        <v>3.0213000000000001</v>
      </c>
      <c r="H37" s="6">
        <f>4*(E37+G37)+9*F37</f>
        <v>14.091343200000001</v>
      </c>
    </row>
    <row r="38" spans="1:8" s="1" customFormat="1" thickBot="1" x14ac:dyDescent="0.3">
      <c r="A38" s="20">
        <v>26</v>
      </c>
      <c r="B38" s="4" t="s">
        <v>39</v>
      </c>
      <c r="C38" s="5">
        <v>48.43</v>
      </c>
      <c r="D38" s="6">
        <f>80%*C38</f>
        <v>38.744</v>
      </c>
      <c r="E38" s="6">
        <f>1.77%*D38</f>
        <v>0.68576880000000007</v>
      </c>
      <c r="F38" s="6"/>
      <c r="G38" s="6">
        <f>11%*D38</f>
        <v>4.2618400000000003</v>
      </c>
      <c r="H38" s="6">
        <f>4*(E38+G38)+9*F38</f>
        <v>19.790435200000001</v>
      </c>
    </row>
    <row r="39" spans="1:8" s="1" customFormat="1" thickBot="1" x14ac:dyDescent="0.3">
      <c r="A39" s="20">
        <v>27</v>
      </c>
      <c r="B39" s="17" t="s">
        <v>58</v>
      </c>
      <c r="C39" s="15">
        <v>7.14</v>
      </c>
      <c r="D39" s="15">
        <f>90%*C39</f>
        <v>6.4260000000000002</v>
      </c>
      <c r="E39" s="15">
        <f>1.1%*D39</f>
        <v>7.0686000000000013E-2</v>
      </c>
      <c r="F39" s="15">
        <f>0.2%*D39</f>
        <v>1.2852000000000001E-2</v>
      </c>
      <c r="G39" s="15">
        <f>3.8%*D39</f>
        <v>0.24418799999999999</v>
      </c>
      <c r="H39" s="16">
        <f t="shared" ref="H39" si="8">4*(E39+G39)+9*F39</f>
        <v>1.3751640000000001</v>
      </c>
    </row>
    <row r="40" spans="1:8" s="1" customFormat="1" thickBot="1" x14ac:dyDescent="0.3">
      <c r="A40" s="20">
        <v>28</v>
      </c>
      <c r="B40" s="4" t="s">
        <v>40</v>
      </c>
      <c r="C40" s="5">
        <v>25.71</v>
      </c>
      <c r="D40" s="6">
        <f>90%*C40</f>
        <v>23.139000000000003</v>
      </c>
      <c r="E40" s="6">
        <f>1.58%*D40</f>
        <v>0.36559620000000009</v>
      </c>
      <c r="F40" s="6"/>
      <c r="G40" s="6">
        <f>9.5%*D40</f>
        <v>2.1982050000000002</v>
      </c>
      <c r="H40" s="6">
        <f t="shared" ref="H40:H42" si="9">4*(E40+G40)+9*F40</f>
        <v>10.255204800000001</v>
      </c>
    </row>
    <row r="41" spans="1:8" s="1" customFormat="1" thickBot="1" x14ac:dyDescent="0.3">
      <c r="A41" s="20">
        <v>29</v>
      </c>
      <c r="B41" s="4" t="s">
        <v>41</v>
      </c>
      <c r="C41" s="5">
        <v>1.1599999999999999</v>
      </c>
      <c r="D41" s="6">
        <f>92%*C41</f>
        <v>1.0671999999999999</v>
      </c>
      <c r="E41" s="6"/>
      <c r="F41" s="6"/>
      <c r="G41" s="6"/>
      <c r="H41" s="6">
        <f t="shared" si="9"/>
        <v>0</v>
      </c>
    </row>
    <row r="42" spans="1:8" s="1" customFormat="1" thickBot="1" x14ac:dyDescent="0.3">
      <c r="A42" s="20">
        <v>30</v>
      </c>
      <c r="B42" s="4" t="s">
        <v>57</v>
      </c>
      <c r="C42" s="13">
        <v>5.71</v>
      </c>
      <c r="D42" s="13">
        <f>85%*C42</f>
        <v>4.8534999999999995</v>
      </c>
      <c r="E42" s="13">
        <f>1.5%*D42</f>
        <v>7.2802499999999992E-2</v>
      </c>
      <c r="F42" s="13"/>
      <c r="G42" s="13">
        <f>6.2%*D42</f>
        <v>0.30091699999999999</v>
      </c>
      <c r="H42" s="14">
        <f t="shared" si="9"/>
        <v>1.4948779999999999</v>
      </c>
    </row>
    <row r="43" spans="1:8" s="1" customFormat="1" thickBot="1" x14ac:dyDescent="0.3">
      <c r="A43" s="20">
        <v>31</v>
      </c>
      <c r="B43" s="18" t="s">
        <v>60</v>
      </c>
      <c r="C43" s="13">
        <v>4.29</v>
      </c>
      <c r="D43" s="13">
        <f>75%*C43</f>
        <v>3.2175000000000002</v>
      </c>
      <c r="E43" s="13">
        <f>1.87%*D43</f>
        <v>6.0167250000000012E-2</v>
      </c>
      <c r="F43" s="13"/>
      <c r="G43" s="13">
        <f>4.15%*D43</f>
        <v>0.13352625000000001</v>
      </c>
      <c r="H43" s="14">
        <f>4*(E43+G43)+9*F43</f>
        <v>0.77477400000000007</v>
      </c>
    </row>
    <row r="44" spans="1:8" s="1" customFormat="1" thickBot="1" x14ac:dyDescent="0.3">
      <c r="A44" s="20">
        <v>32</v>
      </c>
      <c r="B44" s="4" t="s">
        <v>42</v>
      </c>
      <c r="C44" s="5">
        <v>14.36</v>
      </c>
      <c r="D44" s="6">
        <f>85%*C44</f>
        <v>12.206</v>
      </c>
      <c r="E44" s="6"/>
      <c r="F44" s="6"/>
      <c r="G44" s="6"/>
      <c r="H44" s="6">
        <f>4*(E44+G44)+9*F44</f>
        <v>0</v>
      </c>
    </row>
    <row r="45" spans="1:8" s="1" customFormat="1" thickBot="1" x14ac:dyDescent="0.3">
      <c r="A45" s="22" t="s">
        <v>43</v>
      </c>
      <c r="B45" s="22"/>
      <c r="C45" s="22"/>
      <c r="D45" s="22"/>
      <c r="E45" s="22"/>
      <c r="F45" s="22"/>
      <c r="G45" s="22"/>
      <c r="H45" s="22"/>
    </row>
    <row r="46" spans="1:8" s="1" customFormat="1" thickBot="1" x14ac:dyDescent="0.3">
      <c r="A46" s="20">
        <v>33</v>
      </c>
      <c r="B46" s="2" t="s">
        <v>44</v>
      </c>
      <c r="C46" s="5">
        <v>92.86</v>
      </c>
      <c r="D46" s="6">
        <f>86%*C46</f>
        <v>79.8596</v>
      </c>
      <c r="E46" s="6"/>
      <c r="F46" s="6"/>
      <c r="G46" s="6">
        <f>12%*D46</f>
        <v>9.5831520000000001</v>
      </c>
      <c r="H46" s="6">
        <f>4*(E46+G46)+9*F46</f>
        <v>38.332608</v>
      </c>
    </row>
    <row r="47" spans="1:8" s="1" customFormat="1" thickBot="1" x14ac:dyDescent="0.3">
      <c r="A47" s="20">
        <v>34</v>
      </c>
      <c r="B47" s="4" t="s">
        <v>45</v>
      </c>
      <c r="C47" s="5">
        <v>2.85</v>
      </c>
      <c r="D47" s="6">
        <f t="shared" ref="D47" si="10">100%*C47</f>
        <v>2.85</v>
      </c>
      <c r="E47" s="6"/>
      <c r="F47" s="6"/>
      <c r="G47" s="6">
        <f>70.1%*D47</f>
        <v>1.9978499999999999</v>
      </c>
      <c r="H47" s="6">
        <f>4*(E47+G47)+9*F47</f>
        <v>7.9913999999999996</v>
      </c>
    </row>
    <row r="48" spans="1:8" s="1" customFormat="1" thickBot="1" x14ac:dyDescent="0.3">
      <c r="A48" s="20">
        <v>35</v>
      </c>
      <c r="B48" s="7" t="s">
        <v>46</v>
      </c>
      <c r="C48" s="5">
        <v>8.86</v>
      </c>
      <c r="D48" s="6">
        <f>100%*C48</f>
        <v>8.86</v>
      </c>
      <c r="E48" s="6">
        <f>1.6%*D48</f>
        <v>0.14176</v>
      </c>
      <c r="F48" s="6"/>
      <c r="G48" s="6">
        <f>40%*D48</f>
        <v>3.544</v>
      </c>
      <c r="H48" s="6">
        <f>4*(E48+G48)+9*F48</f>
        <v>14.743040000000001</v>
      </c>
    </row>
    <row r="49" spans="1:8" s="1" customFormat="1" thickBot="1" x14ac:dyDescent="0.3">
      <c r="A49" s="22" t="s">
        <v>47</v>
      </c>
      <c r="B49" s="22"/>
      <c r="C49" s="22"/>
      <c r="D49" s="22"/>
      <c r="E49" s="22"/>
      <c r="F49" s="22"/>
      <c r="G49" s="22"/>
      <c r="H49" s="22"/>
    </row>
    <row r="50" spans="1:8" s="1" customFormat="1" thickBot="1" x14ac:dyDescent="0.3">
      <c r="A50" s="20">
        <v>36</v>
      </c>
      <c r="B50" s="7" t="s">
        <v>48</v>
      </c>
      <c r="C50" s="5">
        <v>0.41</v>
      </c>
      <c r="D50" s="6">
        <f>C50*48</f>
        <v>19.68</v>
      </c>
      <c r="E50" s="6">
        <f>12.7%*D50</f>
        <v>2.4993599999999998</v>
      </c>
      <c r="F50" s="6">
        <f>11.5%*D50</f>
        <v>2.2631999999999999</v>
      </c>
      <c r="G50" s="6"/>
      <c r="H50" s="6">
        <f t="shared" ref="H50:H55" si="11">4*(E50+G50)+9*F50</f>
        <v>30.366239999999998</v>
      </c>
    </row>
    <row r="51" spans="1:8" s="1" customFormat="1" thickBot="1" x14ac:dyDescent="0.3">
      <c r="A51" s="20">
        <v>37</v>
      </c>
      <c r="B51" s="4" t="s">
        <v>49</v>
      </c>
      <c r="C51" s="5">
        <v>44.5</v>
      </c>
      <c r="D51" s="6">
        <f t="shared" ref="D51:D55" si="12">100%*C51</f>
        <v>44.5</v>
      </c>
      <c r="E51" s="6"/>
      <c r="F51" s="6"/>
      <c r="G51" s="6">
        <f>99%*D51</f>
        <v>44.055</v>
      </c>
      <c r="H51" s="6">
        <f t="shared" si="11"/>
        <v>176.22</v>
      </c>
    </row>
    <row r="52" spans="1:8" s="1" customFormat="1" thickBot="1" x14ac:dyDescent="0.3">
      <c r="A52" s="20">
        <v>38</v>
      </c>
      <c r="B52" s="4" t="s">
        <v>50</v>
      </c>
      <c r="C52" s="5">
        <v>6.84</v>
      </c>
      <c r="D52" s="6">
        <f t="shared" si="12"/>
        <v>6.84</v>
      </c>
      <c r="E52" s="6"/>
      <c r="F52" s="6"/>
      <c r="G52" s="6"/>
      <c r="H52" s="6">
        <f t="shared" si="11"/>
        <v>0</v>
      </c>
    </row>
    <row r="53" spans="1:8" s="1" customFormat="1" thickBot="1" x14ac:dyDescent="0.3">
      <c r="A53" s="20">
        <v>39</v>
      </c>
      <c r="B53" s="2" t="s">
        <v>51</v>
      </c>
      <c r="C53" s="5">
        <v>3.43</v>
      </c>
      <c r="D53" s="6">
        <f t="shared" si="12"/>
        <v>3.43</v>
      </c>
      <c r="E53" s="6"/>
      <c r="F53" s="6"/>
      <c r="G53" s="6"/>
      <c r="H53" s="6">
        <f t="shared" si="11"/>
        <v>0</v>
      </c>
    </row>
    <row r="54" spans="1:8" s="1" customFormat="1" thickBot="1" x14ac:dyDescent="0.3">
      <c r="A54" s="20">
        <v>40</v>
      </c>
      <c r="B54" s="2" t="s">
        <v>52</v>
      </c>
      <c r="C54" s="5">
        <v>1.5</v>
      </c>
      <c r="D54" s="6">
        <f t="shared" si="12"/>
        <v>1.5</v>
      </c>
      <c r="E54" s="6">
        <f>20%*D54</f>
        <v>0.30000000000000004</v>
      </c>
      <c r="F54" s="6">
        <f>13%*D54</f>
        <v>0.19500000000000001</v>
      </c>
      <c r="G54" s="6">
        <f>26.6%*D54</f>
        <v>0.39900000000000002</v>
      </c>
      <c r="H54" s="6">
        <f t="shared" si="11"/>
        <v>4.5510000000000002</v>
      </c>
    </row>
    <row r="55" spans="1:8" s="1" customFormat="1" thickBot="1" x14ac:dyDescent="0.3">
      <c r="A55" s="20">
        <v>41</v>
      </c>
      <c r="B55" s="2" t="s">
        <v>1</v>
      </c>
      <c r="C55" s="13">
        <v>0.18</v>
      </c>
      <c r="D55" s="13">
        <f t="shared" si="12"/>
        <v>0.18</v>
      </c>
      <c r="E55" s="13"/>
      <c r="F55" s="13"/>
      <c r="G55" s="13"/>
      <c r="H55" s="14">
        <f t="shared" si="11"/>
        <v>0</v>
      </c>
    </row>
    <row r="56" spans="1:8" s="1" customFormat="1" thickBot="1" x14ac:dyDescent="0.3">
      <c r="A56" s="20">
        <v>42</v>
      </c>
      <c r="B56" s="2" t="s">
        <v>53</v>
      </c>
      <c r="C56" s="5">
        <v>0.37</v>
      </c>
      <c r="D56" s="6">
        <f>100%*C56</f>
        <v>0.37</v>
      </c>
      <c r="E56" s="6"/>
      <c r="F56" s="6"/>
      <c r="G56" s="6"/>
      <c r="H56" s="6">
        <f>4*(E56+G56)+9*F56</f>
        <v>0</v>
      </c>
    </row>
    <row r="57" spans="1:8" s="1" customFormat="1" thickBot="1" x14ac:dyDescent="0.3">
      <c r="A57" s="20">
        <v>43</v>
      </c>
      <c r="B57" s="18" t="s">
        <v>59</v>
      </c>
      <c r="C57" s="13">
        <v>10.71</v>
      </c>
      <c r="D57" s="13">
        <f>40%*C57</f>
        <v>4.2840000000000007</v>
      </c>
      <c r="E57" s="13">
        <f>1.9%*D57</f>
        <v>8.139600000000001E-2</v>
      </c>
      <c r="F57" s="13"/>
      <c r="G57" s="13">
        <f>3.6%*D57</f>
        <v>0.15422400000000006</v>
      </c>
      <c r="H57" s="14">
        <f>4*(E57+G57)+9*F57</f>
        <v>0.94248000000000021</v>
      </c>
    </row>
    <row r="58" spans="1:8" s="1" customFormat="1" thickBot="1" x14ac:dyDescent="0.3">
      <c r="A58" s="20">
        <v>44</v>
      </c>
      <c r="B58" s="2" t="s">
        <v>0</v>
      </c>
      <c r="C58" s="13">
        <v>0.19</v>
      </c>
      <c r="D58" s="13">
        <f t="shared" ref="D58" si="13">100%*C58</f>
        <v>0.19</v>
      </c>
      <c r="E58" s="13"/>
      <c r="F58" s="13"/>
      <c r="G58" s="13"/>
      <c r="H58" s="14">
        <f t="shared" ref="H58" si="14">4*(E58+G58)+9*F58</f>
        <v>0</v>
      </c>
    </row>
    <row r="59" spans="1:8" s="1" customFormat="1" thickBot="1" x14ac:dyDescent="0.3">
      <c r="A59" s="20">
        <v>45</v>
      </c>
      <c r="B59" s="2" t="s">
        <v>54</v>
      </c>
      <c r="C59" s="5">
        <v>3.14</v>
      </c>
      <c r="D59" s="6">
        <f>100%*C59</f>
        <v>3.14</v>
      </c>
      <c r="E59" s="6"/>
      <c r="F59" s="6"/>
      <c r="G59" s="6">
        <f>17.7%*D59</f>
        <v>0.55577999999999994</v>
      </c>
      <c r="H59" s="6">
        <f>4*(E59+G59)+9*F59</f>
        <v>2.2231199999999998</v>
      </c>
    </row>
    <row r="60" spans="1:8" s="1" customFormat="1" thickBot="1" x14ac:dyDescent="0.3">
      <c r="A60" s="22" t="s">
        <v>55</v>
      </c>
      <c r="B60" s="22"/>
      <c r="C60" s="8">
        <f>SUM(C6:C59)</f>
        <v>1233.2999999999997</v>
      </c>
      <c r="D60" s="8">
        <f>SUM(D5:D59)</f>
        <v>1586.6184999999991</v>
      </c>
      <c r="E60" s="8">
        <f>SUM(E5:E59)</f>
        <v>103.51236600000003</v>
      </c>
      <c r="F60" s="8">
        <f>SUM(F5:F59)</f>
        <v>87.765253799999982</v>
      </c>
      <c r="G60" s="8">
        <f>SUM(G5:G59)</f>
        <v>466.36289744999988</v>
      </c>
      <c r="H60" s="8">
        <f>SUM(H5:H59)</f>
        <v>3069.3883380000011</v>
      </c>
    </row>
    <row r="61" spans="1:8" s="1" customFormat="1" ht="15" x14ac:dyDescent="0.25"/>
    <row r="64" spans="1:8" s="1" customFormat="1" x14ac:dyDescent="0.3">
      <c r="A64" s="9"/>
      <c r="B64" s="10"/>
      <c r="C64" s="11"/>
      <c r="D64" s="12"/>
      <c r="E64" s="12"/>
      <c r="F64" s="12"/>
      <c r="G64" s="12"/>
      <c r="H64" s="12"/>
    </row>
  </sheetData>
  <mergeCells count="18">
    <mergeCell ref="A60:B60"/>
    <mergeCell ref="A24:H24"/>
    <mergeCell ref="A2:H2"/>
    <mergeCell ref="A3:A4"/>
    <mergeCell ref="B3:B4"/>
    <mergeCell ref="C3:D3"/>
    <mergeCell ref="E3:G3"/>
    <mergeCell ref="H3:H4"/>
    <mergeCell ref="A7:H7"/>
    <mergeCell ref="A10:H10"/>
    <mergeCell ref="A15:H15"/>
    <mergeCell ref="A18:H18"/>
    <mergeCell ref="A22:H22"/>
    <mergeCell ref="A1:H1"/>
    <mergeCell ref="A31:H31"/>
    <mergeCell ref="A34:H34"/>
    <mergeCell ref="A45:H45"/>
    <mergeCell ref="A49:H49"/>
  </mergeCells>
  <conditionalFormatting sqref="D60:G60">
    <cfRule type="duplicateValues" dxfId="0" priority="11"/>
  </conditionalFormatting>
  <pageMargins left="0.7" right="0.7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2019-03-01T12:06:33Z</dcterms:modified>
</cp:coreProperties>
</file>